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Old" sheetId="1" r:id="rId4"/>
    <sheet state="hidden" name="raw_old" sheetId="2" r:id="rId5"/>
    <sheet state="visible" name="raw" sheetId="3" r:id="rId6"/>
    <sheet state="visible" name="plots1" sheetId="4" r:id="rId7"/>
    <sheet state="visible" name="plots2" sheetId="5" r:id="rId8"/>
    <sheet state="visible" name="loc" sheetId="6" r:id="rId9"/>
    <sheet state="visible" name="others" sheetId="7" r:id="rId10"/>
    <sheet state="hidden" name="2021-01-25-033556_release_t60" sheetId="8" r:id="rId11"/>
    <sheet state="hidden" name="2021-02-04-020810_release_t300" sheetId="9" r:id="rId12"/>
    <sheet state="hidden" name="2021-01-25-095613_debug_t60" sheetId="10" r:id="rId13"/>
    <sheet state="hidden" name="debug" sheetId="11" r:id="rId14"/>
  </sheets>
  <definedNames/>
  <calcPr/>
</workbook>
</file>

<file path=xl/sharedStrings.xml><?xml version="1.0" encoding="utf-8"?>
<sst xmlns="http://schemas.openxmlformats.org/spreadsheetml/2006/main" count="8301" uniqueCount="3029">
  <si>
    <t>[[Some((130, 9)), Some((94, 9)), Some((180, 8)), Some((107, 9))], [Some((65, 6)), Some((80, 6)), Some((150, 5)), Some((110, 6))], [Some((176, 13)), Some((185, 13)), Some((406, 12)), Some((249, 13))], [Some((114, 7)), Some((119, 7)), Some((199, 7)), Some((180, 7))], [Some((562, 21)), Some((357, 21)), Some((700, 21)), Some((572, 21))], [Some((1712, 41)), Some((697, 41)), Some((1484, 41)), Some((1132, 41))], [Some((32512, 201)), Some((3417, 201)), Some((8906, 201)), Some((5612, 201))], [Some((3025012, 2001)), Some((34017, 2001)), Some((147028, 2001)), Some((56012, 2001))], [None, Some((340017, 20001)), Some((3297129, 20001)), Some((560012, 20001))], [Some((91, 7)), Some((74, 7)), Some((160, 7)), Some((90, 7))], [Some((504, 21)), Some((242, 21)), Some((591, 21)), Some((293, 21))], [Some((1604, 41)), Some((482, 41)), Some((1275, 41)), Some((583, 41))], [Some((32004, 201)), Some((2402, 201)), Some((7897, 201)), Some((2903, 201))], [Some((3020004, 2001)), Some((24002, 2001)), Some((137019, 2001)), Some((29003, 2001))], [None, Some((240002, 20001)), Some((3197120, 20001)), Some((290003, 20001))], [Some((108, 8)), Some((115, 8)), Some((274, 8)), Some((119, 8))], [Some((556, 22)), Some((388, 22)), Some((897, 22)), Some((322, 22))], [Some((1706, 42)), Some((774, 42)), Some((1823, 42)), Some((612, 42))], [Some((32506, 202)), Some((3873, 202)), Some((10509, 202)), Some((2932, 202))], [Some((3025006, 2002)), Some((38855, 2002)), Some((163193, 2002)), Some((29032, 2002))], [None, Some((385462, 20002)), Some((3455968, 20002)), Some((290032, 20002))], [Some((80, 6)), Some((107, 6)), Some((227, 6)), Some((173, 6))], [Some((486, 20)), Some((387, 20)), Some((845, 20)), Some((719, 20))], [Some((1576, 40)), Some((787, 40)), Some((1797, 40)), Some((1499, 40))], [Some((31896, 200)), Some((3987, 200)), Some((10573, 200)), Some((7739, 200))], [Some((3018996, 2000)), Some((39987, 2000)), Some((163991, 2000)), Some((77939, 2000))], [None, Some((399987, 20000)), Some((3467052, 20000)), Some((779939, 20000))], [Some((114, 7)), Some((129, 7)), Some((170, 7)), Some((254, 7))], [Some((562, 21)), Some((528, 21)), Some((534, 21)), Some((1303, 21))], [Some((1712, 41)), Some((1438, 41)), Some((1054, 41)), Some((3350, 41))], [Some((32512, 201)), Some((23118, 201)), Some((5214, 201)), Some((26714, 201))], [Some((3025012, 2001)), Some((2031018, 2001)), Some((52014, 2001)), Some((423479, 2001))], [None, None, Some((520014, 20001)), Some((5790079, 20001))], [Some((91, 7)), Some((84, 7)), Some((131, 7)), Some((164, 7))], [Some((504, 21)), Some((413, 21)), Some((425, 21)), Some((1024, 21))], [Some((1604, 41)), Some((1223, 41)), Some((845, 41)), Some((2801, 41))], [Some((32004, 201)), Some((22103, 201)), Some((4205, 201)), Some((24005, 201))], [Some((3020004, 2001)), Some((2021003, 2001)), Some((42005, 2001)), Some((396470, 2001))], [None, None, Some((420005, 20001)), Some((5520070, 20001))], [Some((98, 8)), Some((114, 8)), Some((253, 8)), Some((119, 8))], [Some((511, 22)), Some((513, 22)), Some((748, 22)), Some((920, 22))], [Some((1611, 42)), Some((1423, 42)), Some((1444, 42)), Some((2661, 42))], [Some((32011, 202)), Some((23103, 202)), Some((7000, 202)), Some((23757, 202))], [Some((3020011, 2002)), Some((2031003, 2002)), Some((69226, 2002)), Some((396045, 2002))], [None, None, Some((690640, 20002)), Some((5519537, 20002))], [Some((80, 6)), Some((110, 6)), Some((212, 6)), Some((192, 6))], [Some((486, 20)), Some((523, 20)), Some((707, 20)), Some((1143, 20))], [Some((1576, 40)), Some((1453, 40)), Some((1403, 40)), Some((3050, 40))], [Some((31896, 200)), Some((23293, 200)), Some((6959, 200)), Some((25294, 200))], [Some((3018996, 2000)), Some((2032993, 2000)), Some((69185, 2000)), Some((409459, 2000))], [None, None, Some((690599, 20000)), Some((5650059, 20000))], [Some((1151, 29)), Some((507, 29)), Some((938, 29)), Some((663, 29))]]</t>
  </si>
  <si>
    <t>Naive</t>
  </si>
  <si>
    <t>Simple</t>
  </si>
  <si>
    <t>Tarjan</t>
  </si>
  <si>
    <t>Jump</t>
  </si>
  <si>
    <t>Space</t>
  </si>
  <si>
    <t>name</t>
  </si>
  <si>
    <t>size</t>
  </si>
  <si>
    <t>time (naive)</t>
  </si>
  <si>
    <t>time (simple)</t>
  </si>
  <si>
    <t>time (tarjan)</t>
  </si>
  <si>
    <t>time (jump)</t>
  </si>
  <si>
    <t>time (smart)</t>
  </si>
  <si>
    <t>examples/generated/line_3</t>
  </si>
  <si>
    <t>examples/generated/line_100</t>
  </si>
  <si>
    <t>examples/generated/loop_1000</t>
  </si>
  <si>
    <t>examples/generated/unkloop_300</t>
  </si>
  <si>
    <t>examples/generated/unkline_3</t>
  </si>
  <si>
    <t>examples/generated/unkloop_30</t>
  </si>
  <si>
    <t>examples/generated/reverseunkloop_10</t>
  </si>
  <si>
    <t>examples/generated/reverseline_1000</t>
  </si>
  <si>
    <t>examples/generated/loop_300</t>
  </si>
  <si>
    <t>examples/generated/unkline_100</t>
  </si>
  <si>
    <t>examples/generated/reverseunkline_3000</t>
  </si>
  <si>
    <t>examples/generated/loop_10</t>
  </si>
  <si>
    <t>examples/generated/unkline_3000</t>
  </si>
  <si>
    <t>examples/generated/reverseunkloop_300</t>
  </si>
  <si>
    <t>examples/generated/reverseunkline_10000</t>
  </si>
  <si>
    <t>Timeout</t>
  </si>
  <si>
    <t>examples/generated/reverseloop_300</t>
  </si>
  <si>
    <t>examples/generated/reverseline_3</t>
  </si>
  <si>
    <t>examples/generated/reverseunkline_100</t>
  </si>
  <si>
    <t>examples/generated/reverseline_10000</t>
  </si>
  <si>
    <t>examples/generated/reverseloop_30</t>
  </si>
  <si>
    <t>examples/generated/reverseline_100</t>
  </si>
  <si>
    <t>examples/generated/reverseloop_10000</t>
  </si>
  <si>
    <t>examples/generated/loop_3000</t>
  </si>
  <si>
    <t>examples/generated/line_10</t>
  </si>
  <si>
    <t>examples/generated/reverseunkloop_10000</t>
  </si>
  <si>
    <t>examples/generated/reverseunkloop_3</t>
  </si>
  <si>
    <t>examples/generated/unkline_30</t>
  </si>
  <si>
    <t>examples/generated/reverseline_3000</t>
  </si>
  <si>
    <t>examples/generated/reverseunkline_1000</t>
  </si>
  <si>
    <t>examples/generated/reverseunkline_10</t>
  </si>
  <si>
    <t>examples/generated/unkline_1000</t>
  </si>
  <si>
    <t>examples/generated/reverseline_30</t>
  </si>
  <si>
    <t>examples/generated/unkloop_3000</t>
  </si>
  <si>
    <t>examples/generated/line_10000</t>
  </si>
  <si>
    <t>examples/generated/line_300</t>
  </si>
  <si>
    <t>examples/generated/reverseloop_10</t>
  </si>
  <si>
    <t>examples/generated/unkloop_100</t>
  </si>
  <si>
    <t>examples/generated/unkline_10000</t>
  </si>
  <si>
    <t>examples/generated/loop_100</t>
  </si>
  <si>
    <t>examples/generated/unkline_300</t>
  </si>
  <si>
    <t>examples/generated/reverseloop_100</t>
  </si>
  <si>
    <t>examples/generated/line_1000</t>
  </si>
  <si>
    <t>examples/generated/loop_30</t>
  </si>
  <si>
    <t>examples/generated/reverseunkloop_100</t>
  </si>
  <si>
    <t>examples/generated/reverseunkline_3</t>
  </si>
  <si>
    <t>examples/generated/reverseline_300</t>
  </si>
  <si>
    <t>examples/generated/reverseloop_1000</t>
  </si>
  <si>
    <t>examples/generated/unkloop_10</t>
  </si>
  <si>
    <t>examples/generated/reverseunkloop_3000</t>
  </si>
  <si>
    <t>examples/generated/reverseunkline_300</t>
  </si>
  <si>
    <t>examples/generated/reverseunkloop_30</t>
  </si>
  <si>
    <t>examples/generated/unkloop_1000</t>
  </si>
  <si>
    <t>examples/generated/reverseloop_3</t>
  </si>
  <si>
    <t>examples/generated/reverseline_10</t>
  </si>
  <si>
    <t>examples/generated/line_3000</t>
  </si>
  <si>
    <t>examples/generated/loop_3</t>
  </si>
  <si>
    <t>examples/generated/unkloop_10000</t>
  </si>
  <si>
    <t>examples/generated/unkline_10</t>
  </si>
  <si>
    <t>examples/generated/unkloop_3</t>
  </si>
  <si>
    <t>examples/generated/reverseunkline_30</t>
  </si>
  <si>
    <t>examples/generated/loop_10000</t>
  </si>
  <si>
    <t>examples/generated/reverseloop_3000</t>
  </si>
  <si>
    <t>examples/generated/reverseunkloop_1000</t>
  </si>
  <si>
    <t>examples/generated/line_30</t>
  </si>
  <si>
    <t>examples/handwritten/15</t>
  </si>
  <si>
    <t>examples/handwritten/6</t>
  </si>
  <si>
    <t>examples/handwritten/14</t>
  </si>
  <si>
    <t>examples/handwritten/7</t>
  </si>
  <si>
    <t>examples/handwritten/20</t>
  </si>
  <si>
    <t>examples/handwritten/5</t>
  </si>
  <si>
    <t>examples/handwritten/16</t>
  </si>
  <si>
    <t>examples/handwritten/tree_3</t>
  </si>
  <si>
    <t>examples/handwritten/4</t>
  </si>
  <si>
    <t>examples/handwritten/17</t>
  </si>
  <si>
    <t>examples/handwritten/8</t>
  </si>
  <si>
    <t>examples/handwritten/1</t>
  </si>
  <si>
    <t>examples/handwritten/12</t>
  </si>
  <si>
    <t>examples/handwritten/13</t>
  </si>
  <si>
    <t>examples/handwritten/9</t>
  </si>
  <si>
    <t>examples/handwritten/11</t>
  </si>
  <si>
    <t>examples/handwritten/2</t>
  </si>
  <si>
    <t>examples/handwritten/18</t>
  </si>
  <si>
    <t>examples/handwritten/19</t>
  </si>
  <si>
    <t>examples/handwritten/10</t>
  </si>
  <si>
    <t>examples/handwritten/3</t>
  </si>
  <si>
    <t>examples/regex/complement/comp1_nonempty_trivial_sat</t>
  </si>
  <si>
    <t>examples/regex/complement/comp2_inclusion_sat</t>
  </si>
  <si>
    <t>examples/regex/complement/simple_complement_unsat</t>
  </si>
  <si>
    <t>examples/regex/complement/comp1_inclusion_unsat</t>
  </si>
  <si>
    <t>examples/regex/date/contains_month_weekday_sat</t>
  </si>
  <si>
    <t>examples/regex/date/date_unsat</t>
  </si>
  <si>
    <t>examples/regex/date/contains_month_weekday_sat_ignorecase</t>
  </si>
  <si>
    <t>examples/regex/date/date1_sat</t>
  </si>
  <si>
    <t>examples/regex/date/contains_month_weekday_unsat</t>
  </si>
  <si>
    <t>examples/regex/date/contains_month_weekday_unsat_ignorecase</t>
  </si>
  <si>
    <t>examples/regex/date/contains_month_weekday_sat_9</t>
  </si>
  <si>
    <t>examples/regex/date/contains_month_weekday_sat2</t>
  </si>
  <si>
    <t>examples/regex/date/date_minimal_unsat</t>
  </si>
  <si>
    <t>examples/regex/date/date_minimal_sat</t>
  </si>
  <si>
    <t>examples/regex/date/date2_sat</t>
  </si>
  <si>
    <t>examples/regex/loop/evil1_unsat</t>
  </si>
  <si>
    <t>examples/regex/loop/evil2_sat</t>
  </si>
  <si>
    <t>examples/regex/loop/evil2_inter_unsat</t>
  </si>
  <si>
    <t>examples/regex/loop/deadloop3_unsat</t>
  </si>
  <si>
    <t>examples/regex/loop/nestedloop1_unsat</t>
  </si>
  <si>
    <t>examples/regex/loop/deadloop1_sat</t>
  </si>
  <si>
    <t>examples/regex/loop/nestedloop2_unsat</t>
  </si>
  <si>
    <t>examples/regex/loop/deadloop2_sat</t>
  </si>
  <si>
    <t>examples/regex/loop/nestedloop2_sat</t>
  </si>
  <si>
    <t>examples/regex/state_graph_easy/diamond_chain_10</t>
  </si>
  <si>
    <t>examples/regex/state_graph_easy/long_10</t>
  </si>
  <si>
    <t>examples/regex/state_graph_easy/inter_star_30_30</t>
  </si>
  <si>
    <t>examples/regex/state_graph_easy/diamond_chain_100</t>
  </si>
  <si>
    <t>examples/regex/state_graph_easy/inter_star_10_10</t>
  </si>
  <si>
    <t>examples/regex/state_graph_easy/inter_star_3_3</t>
  </si>
  <si>
    <t>examples/regex/state_graph_easy/diamond_chain_30</t>
  </si>
  <si>
    <t>examples/regex/state_graph_easy/long_3</t>
  </si>
  <si>
    <t>examples/regex/state_graph_easy/inter_3_6_9</t>
  </si>
  <si>
    <t>examples/regex/state_graph_easy/inter_1_2_3</t>
  </si>
  <si>
    <t>examples/regex/state_graph_hard/diamond_chain_1000</t>
  </si>
  <si>
    <t>examples/regex/state_graph_hard/long_100</t>
  </si>
  <si>
    <t>examples/regex/state_graph_hard/diamond_chain_3000</t>
  </si>
  <si>
    <t>examples/regex/state_graph_hard/inter_30_60_90</t>
  </si>
  <si>
    <t>examples/regex/state_graph_hard/long_300</t>
  </si>
  <si>
    <t>examples/regex/state_graph_hard/inter_10_20_30</t>
  </si>
  <si>
    <t>examples/regex/state_graph_hard/long_30</t>
  </si>
  <si>
    <t>examples/regex/state_graph_hard/inter_star_100_100</t>
  </si>
  <si>
    <t>examples/regex/state_graph_hard/diamond_chain_300</t>
  </si>
  <si>
    <t>examples/regex/counting/re_count_sat_medium</t>
  </si>
  <si>
    <t>examples/regex/counting/re_count_sat_hard</t>
  </si>
  <si>
    <t>examples/regex/counting/re_count_sat_easy</t>
  </si>
  <si>
    <t>examples/regex/det_blowup/det_blowup_unsat_100</t>
  </si>
  <si>
    <t>examples/regex/det_blowup/det_blowup_unsat_5</t>
  </si>
  <si>
    <t>examples/regex/det_blowup/det_blowup_sat_5</t>
  </si>
  <si>
    <t>examples/regex/det_blowup/digit15_unsat</t>
  </si>
  <si>
    <t>examples/regex/det_blowup/digit05_unsat</t>
  </si>
  <si>
    <t>examples/regex/det_blowup/det_blowup_unsat_3</t>
  </si>
  <si>
    <t>examples/regex/det_blowup/det_blowup_unsat_10</t>
  </si>
  <si>
    <t>examples/regex/det_blowup/det_blowup_sat_3</t>
  </si>
  <si>
    <t>examples/regex/det_blowup/det_blowup_sat_10</t>
  </si>
  <si>
    <t>examples/regex/det_blowup/digit10_unsat</t>
  </si>
  <si>
    <t>examples/regex/det_blowup/det_blowup_sat_100</t>
  </si>
  <si>
    <t>examples/regex/det_blowup/det_blowup_unsat_1</t>
  </si>
  <si>
    <t>examples/regex/det_blowup/digit20_unsat</t>
  </si>
  <si>
    <t>examples/regex/det_blowup/det_blowup_sat_1000</t>
  </si>
  <si>
    <t>examples/regex/intersection/demo_unsat</t>
  </si>
  <si>
    <t>examples/regex/intersection/inter_mod2_unsat</t>
  </si>
  <si>
    <t>examples/regex/intersection/zelkova_fmcad18_example_explicit_inter_unsat</t>
  </si>
  <si>
    <t>examples/regex/intersection/inter_mod3_unsat</t>
  </si>
  <si>
    <t>examples/regex/password/passw_complex_5_10_sat</t>
  </si>
  <si>
    <t>examples/regex/password/passw_complex_4_10_sat</t>
  </si>
  <si>
    <t>examples/regex/password/passw_sat1</t>
  </si>
  <si>
    <t>examples/regex/password/passw_very_complex_1_7_unsat</t>
  </si>
  <si>
    <t>examples/regex/password/passw_complex_9_10_sat</t>
  </si>
  <si>
    <t>examples/regex/password/passw_very_complex_8_12_sat</t>
  </si>
  <si>
    <t>examples/regex/password/passw_sat3</t>
  </si>
  <si>
    <t>examples/regex/password/passw_complex_6_10_sat</t>
  </si>
  <si>
    <t>examples/regex/password/passw_complex_7_10_sat</t>
  </si>
  <si>
    <t>examples/regex/password/passw_sat2</t>
  </si>
  <si>
    <t>examples/regex/password/passw_very_complex_9_12_sat</t>
  </si>
  <si>
    <t>examples/regex/password/passw_complex_8_10_sat</t>
  </si>
  <si>
    <t>examples/regex/password/passw_very_complex_6_7_unsat</t>
  </si>
  <si>
    <t>examples/regex/password/passw_unsat1</t>
  </si>
  <si>
    <t>examples/regex/password/passw_very_complex_3_7_unsat</t>
  </si>
  <si>
    <t>examples/regex/password/passw_very_complex_12_12_sat</t>
  </si>
  <si>
    <t>examples/regex/password/passw_very_complex_4_7_unsat</t>
  </si>
  <si>
    <t>examples/regex/password/passw_very_complex_3_4_unsat</t>
  </si>
  <si>
    <t>examples/regex/password/passw_very_complex_11_12_sat</t>
  </si>
  <si>
    <t>examples/regex/password/passw_sat4</t>
  </si>
  <si>
    <t>examples/regex/password/passw_very_complex_5_7_unsat</t>
  </si>
  <si>
    <t>examples/regex/password/passw_very_complex_2_4_unsat</t>
  </si>
  <si>
    <t>examples/regex/password/passw_unsat3</t>
  </si>
  <si>
    <t>examples/regex/password/passw_very_complex_2_7_unsat</t>
  </si>
  <si>
    <t>examples/regex/password/passw_very_complex_10_12_sat</t>
  </si>
  <si>
    <t>examples/regex/regexlib/RegexMembership/sat/membership_19</t>
  </si>
  <si>
    <t>examples/regex/regexlib/RegexMembership/sat/membership_324</t>
  </si>
  <si>
    <t>examples/regex/regexlib/RegexMembership/sat/membership_419</t>
  </si>
  <si>
    <t>examples/regex/regexlib/RegexMembership/sat/membership_1192</t>
  </si>
  <si>
    <t>examples/regex/regexlib/RegexMembership/sat/membership_561</t>
  </si>
  <si>
    <t>examples/regex/regexlib/RegexMembership/sat/membership_1182</t>
  </si>
  <si>
    <t>examples/regex/regexlib/RegexMembership/sat/membership_409</t>
  </si>
  <si>
    <t>examples/regex/regexlib/RegexMembership/sat/membership_571</t>
  </si>
  <si>
    <t>examples/regex/regexlib/RegexMembership/sat/membership_607</t>
  </si>
  <si>
    <t>examples/regex/regexlib/RegexMembership/sat/membership_617</t>
  </si>
  <si>
    <t>examples/regex/regexlib/RegexMembership/sat/membership_1335</t>
  </si>
  <si>
    <t>examples/regex/regexlib/RegexMembership/sat/membership_1325</t>
  </si>
  <si>
    <t>examples/regex/regexlib/RegexMembership/sat/membership_193</t>
  </si>
  <si>
    <t>examples/regex/regexlib/RegexMembership/sat/membership_1418</t>
  </si>
  <si>
    <t>examples/regex/regexlib/RegexMembership/sat/membership_972</t>
  </si>
  <si>
    <t>examples/regex/regexlib/RegexMembership/sat/membership_1560</t>
  </si>
  <si>
    <t>examples/regex/regexlib/RegexMembership/sat/membership_1408</t>
  </si>
  <si>
    <t>examples/regex/regexlib/RegexMembership/sat/membership_183</t>
  </si>
  <si>
    <t>examples/regex/regexlib/RegexMembership/sat/membership_962</t>
  </si>
  <si>
    <t>examples/regex/regexlib/RegexMembership/sat/membership_1570</t>
  </si>
  <si>
    <t>examples/regex/regexlib/RegexMembership/sat/membership_1606</t>
  </si>
  <si>
    <t>examples/regex/regexlib/RegexMembership/sat/membership_1616</t>
  </si>
  <si>
    <t>examples/regex/regexlib/RegexMembership/sat/membership_1053</t>
  </si>
  <si>
    <t>examples/regex/regexlib/RegexMembership/sat/membership_1043</t>
  </si>
  <si>
    <t>examples/regex/regexlib/RegexMembership/sat/membership_1149</t>
  </si>
  <si>
    <t>examples/regex/regexlib/RegexMembership/sat/membership_1031</t>
  </si>
  <si>
    <t>examples/regex/regexlib/RegexMembership/sat/membership_1159</t>
  </si>
  <si>
    <t>examples/regex/regexlib/RegexMembership/sat/membership_1021</t>
  </si>
  <si>
    <t>examples/regex/regexlib/RegexMembership/sat/membership_297</t>
  </si>
  <si>
    <t>examples/regex/regexlib/RegexMembership/sat/membership_1664</t>
  </si>
  <si>
    <t>examples/regex/regexlib/RegexMembership/sat/membership_287</t>
  </si>
  <si>
    <t>examples/regex/regexlib/RegexMembership/sat/membership_1674</t>
  </si>
  <si>
    <t>examples/regex/regexlib/RegexMembership/sat/membership_868</t>
  </si>
  <si>
    <t>examples/regex/regexlib/RegexMembership/sat/membership_910</t>
  </si>
  <si>
    <t>examples/regex/regexlib/RegexMembership/sat/membership_1502</t>
  </si>
  <si>
    <t>examples/regex/regexlib/RegexMembership/sat/membership_878</t>
  </si>
  <si>
    <t>examples/regex/regexlib/RegexMembership/sat/membership_900</t>
  </si>
  <si>
    <t>examples/regex/regexlib/RegexMembership/sat/membership_1512</t>
  </si>
  <si>
    <t>examples/regex/regexlib/RegexMembership/sat/membership_1357</t>
  </si>
  <si>
    <t>examples/regex/regexlib/RegexMembership/sat/membership_1347</t>
  </si>
  <si>
    <t>examples/regex/regexlib/RegexMembership/sat/membership_148</t>
  </si>
  <si>
    <t>examples/regex/regexlib/RegexMembership/sat/membership_158</t>
  </si>
  <si>
    <t>examples/regex/regexlib/RegexMembership/sat/membership_1296</t>
  </si>
  <si>
    <t>examples/regex/regexlib/RegexMembership/sat/membership_665</t>
  </si>
  <si>
    <t>examples/regex/regexlib/RegexMembership/sat/membership_1286</t>
  </si>
  <si>
    <t>examples/regex/regexlib/RegexMembership/sat/membership_675</t>
  </si>
  <si>
    <t>examples/regex/regexlib/RegexMembership/sat/membership_1869</t>
  </si>
  <si>
    <t>examples/regex/regexlib/RegexMembership/sat/membership_1088</t>
  </si>
  <si>
    <t>examples/regex/regexlib/RegexMembership/sat/membership_503</t>
  </si>
  <si>
    <t>examples/regex/regexlib/RegexMembership/sat/membership_1911</t>
  </si>
  <si>
    <t>examples/regex/regexlib/RegexMembership/sat/membership_1879</t>
  </si>
  <si>
    <t>examples/regex/regexlib/RegexMembership/sat/membership_513</t>
  </si>
  <si>
    <t>examples/regex/regexlib/RegexMembership/sat/membership_1901</t>
  </si>
  <si>
    <t>examples/regex/regexlib/RegexMembership/sat/membership_1098</t>
  </si>
  <si>
    <t>examples/regex/regexlib/RegexMembership/sat/membership_356</t>
  </si>
  <si>
    <t>examples/regex/regexlib/RegexMembership/sat/membership_346</t>
  </si>
  <si>
    <t>examples/regex/regexlib/RegexMembership/sat/membership_1741</t>
  </si>
  <si>
    <t>examples/regex/regexlib/RegexMembership/sat/membership_1639</t>
  </si>
  <si>
    <t>examples/regex/regexlib/RegexMembership/sat/membership_1751</t>
  </si>
  <si>
    <t>examples/regex/regexlib/RegexMembership/sat/membership_1629</t>
  </si>
  <si>
    <t>examples/regex/regexlib/RegexMembership/sat/membership_1114</t>
  </si>
  <si>
    <t>examples/regex/regexlib/RegexMembership/sat/membership_1104</t>
  </si>
  <si>
    <t>examples/regex/regexlib/RegexMembership/sat/membership_1272</t>
  </si>
  <si>
    <t>examples/regex/regexlib/RegexMembership/sat/membership_681</t>
  </si>
  <si>
    <t>examples/regex/regexlib/RegexMembership/sat/membership_1262</t>
  </si>
  <si>
    <t>examples/regex/regexlib/RegexMembership/sat/membership_691</t>
  </si>
  <si>
    <t>examples/regex/regexlib/RegexMembership/sat/membership_835</t>
  </si>
  <si>
    <t>examples/regex/regexlib/RegexMembership/sat/membership_1427</t>
  </si>
  <si>
    <t>examples/regex/regexlib/RegexMembership/sat/membership_825</t>
  </si>
  <si>
    <t>examples/regex/regexlib/RegexMembership/sat/membership_1437</t>
  </si>
  <si>
    <t>examples/regex/regexlib/RegexMembership/sat/membership_740</t>
  </si>
  <si>
    <t>examples/regex/regexlib/RegexMembership/sat/membership_638</t>
  </si>
  <si>
    <t>examples/regex/regexlib/RegexMembership/sat/membership_750</t>
  </si>
  <si>
    <t>examples/regex/regexlib/RegexMembership/sat/membership_628</t>
  </si>
  <si>
    <t>examples/regex/regexlib/RegexMembership/sat/membership_115</t>
  </si>
  <si>
    <t>examples/regex/regexlib/RegexMembership/sat/membership_105</t>
  </si>
  <si>
    <t>examples/regex/regexlib/RegexMembership/sat/membership_273</t>
  </si>
  <si>
    <t>examples/regex/regexlib/RegexMembership/sat/membership_26</t>
  </si>
  <si>
    <t>examples/regex/regexlib/RegexMembership/sat/membership_1680</t>
  </si>
  <si>
    <t>examples/regex/regexlib/RegexMembership/sat/membership_263</t>
  </si>
  <si>
    <t>examples/regex/regexlib/RegexMembership/sat/membership_36</t>
  </si>
  <si>
    <t>examples/regex/regexlib/RegexMembership/sat/membership_1690</t>
  </si>
  <si>
    <t>examples/regex/regexlib/RegexMembership/sat/membership_426</t>
  </si>
  <si>
    <t>examples/regex/regexlib/RegexMembership/sat/membership_1834</t>
  </si>
  <si>
    <t>examples/regex/regexlib/RegexMembership/sat/membership_436</t>
  </si>
  <si>
    <t>examples/regex/regexlib/RegexMembership/sat/membership_1824</t>
  </si>
  <si>
    <t>examples/regex/regexlib/RegexMembership/sat/membership_444</t>
  </si>
  <si>
    <t>examples/regex/regexlib/RegexMembership/sat/membership_1856</t>
  </si>
  <si>
    <t>examples/regex/regexlib/RegexMembership/sat/membership_454</t>
  </si>
  <si>
    <t>examples/regex/regexlib/RegexMembership/sat/membership_1846</t>
  </si>
  <si>
    <t>examples/regex/regexlib/RegexMembership/sat/membership_211</t>
  </si>
  <si>
    <t>examples/regex/regexlib/RegexMembership/sat/membership_44</t>
  </si>
  <si>
    <t>examples/regex/regexlib/RegexMembership/sat/membership_369</t>
  </si>
  <si>
    <t>examples/regex/regexlib/RegexMembership/sat/membership_201</t>
  </si>
  <si>
    <t>examples/regex/regexlib/RegexMembership/sat/membership_379</t>
  </si>
  <si>
    <t>examples/regex/regexlib/RegexMembership/sat/membership_54</t>
  </si>
  <si>
    <t>examples/regex/regexlib/RegexMembership/sat/membership_177</t>
  </si>
  <si>
    <t>examples/regex/regexlib/RegexMembership/sat/membership_1584</t>
  </si>
  <si>
    <t>examples/regex/regexlib/RegexMembership/sat/membership_996</t>
  </si>
  <si>
    <t>examples/regex/regexlib/RegexMembership/sat/membership_167</t>
  </si>
  <si>
    <t>examples/regex/regexlib/RegexMembership/sat/membership_1594</t>
  </si>
  <si>
    <t>examples/regex/regexlib/RegexMembership/sat/membership_986</t>
  </si>
  <si>
    <t>examples/regex/regexlib/RegexMembership/sat/membership_722</t>
  </si>
  <si>
    <t>examples/regex/regexlib/RegexMembership/sat/membership_732</t>
  </si>
  <si>
    <t>examples/regex/regexlib/RegexMembership/sat/membership_857</t>
  </si>
  <si>
    <t>examples/regex/regexlib/RegexMembership/sat/membership_1445</t>
  </si>
  <si>
    <t>examples/regex/regexlib/RegexMembership/sat/membership_847</t>
  </si>
  <si>
    <t>examples/regex/regexlib/RegexMembership/sat/membership_1455</t>
  </si>
  <si>
    <t>examples/regex/regexlib/RegexMembership/sat/membership_1210</t>
  </si>
  <si>
    <t>examples/regex/regexlib/RegexMembership/sat/membership_1368</t>
  </si>
  <si>
    <t>examples/regex/regexlib/RegexMembership/sat/membership_1200</t>
  </si>
  <si>
    <t>examples/regex/regexlib/RegexMembership/sat/membership_1378</t>
  </si>
  <si>
    <t>examples/regex/regexlib/RegexMembership/sat/membership_1176</t>
  </si>
  <si>
    <t>examples/regex/regexlib/RegexMembership/sat/membership_585</t>
  </si>
  <si>
    <t>examples/regex/regexlib/RegexMembership/sat/membership_1166</t>
  </si>
  <si>
    <t>examples/regex/regexlib/RegexMembership/sat/membership_595</t>
  </si>
  <si>
    <t>examples/regex/regexlib/RegexMembership/sat/membership_1723</t>
  </si>
  <si>
    <t>examples/regex/regexlib/RegexMembership/sat/membership_1733</t>
  </si>
  <si>
    <t>examples/regex/regexlib/RegexMembership/sat/membership_1150</t>
  </si>
  <si>
    <t>examples/regex/regexlib/RegexMembership/sat/membership_1028</t>
  </si>
  <si>
    <t>examples/regex/regexlib/RegexMembership/sat/membership_1140</t>
  </si>
  <si>
    <t>examples/regex/regexlib/RegexMembership/sat/membership_1038</t>
  </si>
  <si>
    <t>examples/regex/regexlib/RegexMembership/sat/membership_1705</t>
  </si>
  <si>
    <t>examples/regex/regexlib/RegexMembership/sat/membership_1715</t>
  </si>
  <si>
    <t>examples/regex/regexlib/RegexMembership/sat/membership_871</t>
  </si>
  <si>
    <t>examples/regex/regexlib/RegexMembership/sat/membership_1463</t>
  </si>
  <si>
    <t>examples/regex/regexlib/RegexMembership/sat/membership_909</t>
  </si>
  <si>
    <t>examples/regex/regexlib/RegexMembership/sat/membership_861</t>
  </si>
  <si>
    <t>examples/regex/regexlib/RegexMembership/sat/membership_1473</t>
  </si>
  <si>
    <t>examples/regex/regexlib/RegexMembership/sat/membership_919</t>
  </si>
  <si>
    <t>examples/regex/regexlib/RegexMembership/sat/membership_1236</t>
  </si>
  <si>
    <t>examples/regex/regexlib/RegexMembership/sat/membership_1226</t>
  </si>
  <si>
    <t>examples/regex/regexlib/RegexMembership/sat/membership_151</t>
  </si>
  <si>
    <t>examples/regex/regexlib/RegexMembership/sat/membership_141</t>
  </si>
  <si>
    <t>examples/regex/regexlib/RegexMembership/sat/membership_704</t>
  </si>
  <si>
    <t>examples/regex/regexlib/RegexMembership/sat/membership_714</t>
  </si>
  <si>
    <t>examples/regex/regexlib/RegexMembership/sat/membership_462</t>
  </si>
  <si>
    <t>examples/regex/regexlib/RegexMembership/sat/membership_1870</t>
  </si>
  <si>
    <t>examples/regex/regexlib/RegexMembership/sat/membership_1908</t>
  </si>
  <si>
    <t>examples/regex/regexlib/RegexMembership/sat/membership_1091</t>
  </si>
  <si>
    <t>examples/regex/regexlib/RegexMembership/sat/membership_472</t>
  </si>
  <si>
    <t>examples/regex/regexlib/RegexMembership/sat/membership_1860</t>
  </si>
  <si>
    <t>examples/regex/regexlib/RegexMembership/sat/membership_1081</t>
  </si>
  <si>
    <t>examples/regex/regexlib/RegexMembership/sat/membership_1918</t>
  </si>
  <si>
    <t>examples/regex/regexlib/RegexMembership/sat/membership_237</t>
  </si>
  <si>
    <t>examples/regex/regexlib/RegexMembership/sat/membership_62</t>
  </si>
  <si>
    <t>examples/regex/regexlib/RegexMembership/sat/membership_227</t>
  </si>
  <si>
    <t>examples/regex/regexlib/RegexMembership/sat/membership_72</t>
  </si>
  <si>
    <t>examples/regex/regexlib/RegexMembership/sat/membership_255</t>
  </si>
  <si>
    <t>examples/regex/regexlib/RegexMembership/sat/membership_245</t>
  </si>
  <si>
    <t>examples/regex/regexlib/RegexMembership/sat/membership_10</t>
  </si>
  <si>
    <t>examples/regex/regexlib/RegexMembership/sat/membership_400</t>
  </si>
  <si>
    <t>examples/regex/regexlib/RegexMembership/sat/membership_1812</t>
  </si>
  <si>
    <t>examples/regex/regexlib/RegexMembership/sat/membership_578</t>
  </si>
  <si>
    <t>examples/regex/regexlib/RegexMembership/sat/membership_410</t>
  </si>
  <si>
    <t>examples/regex/regexlib/RegexMembership/sat/membership_1802</t>
  </si>
  <si>
    <t>examples/regex/regexlib/RegexMembership/sat/membership_568</t>
  </si>
  <si>
    <t>examples/regex/regexlib/RegexMembership/sat/membership_766</t>
  </si>
  <si>
    <t>examples/regex/regexlib/RegexMembership/sat/membership_1395</t>
  </si>
  <si>
    <t>examples/regex/regexlib/RegexMembership/sat/membership_776</t>
  </si>
  <si>
    <t>examples/regex/regexlib/RegexMembership/sat/membership_1385</t>
  </si>
  <si>
    <t>examples/regex/regexlib/RegexMembership/sat/membership_133</t>
  </si>
  <si>
    <t>examples/regex/regexlib/RegexMembership/sat/membership_123</t>
  </si>
  <si>
    <t>examples/regex/regexlib/RegexMembership/sat/membership_1254</t>
  </si>
  <si>
    <t>examples/regex/regexlib/RegexMembership/sat/membership_1244</t>
  </si>
  <si>
    <t>examples/regex/regexlib/RegexMembership/sat/membership_813</t>
  </si>
  <si>
    <t>examples/regex/regexlib/RegexMembership/sat/membership_1401</t>
  </si>
  <si>
    <t>examples/regex/regexlib/RegexMembership/sat/membership_1579</t>
  </si>
  <si>
    <t>examples/regex/regexlib/RegexMembership/sat/membership_803</t>
  </si>
  <si>
    <t>examples/regex/regexlib/RegexMembership/sat/membership_1411</t>
  </si>
  <si>
    <t>examples/regex/regexlib/RegexMembership/sat/membership_1569</t>
  </si>
  <si>
    <t>examples/regex/regexlib/RegexMembership/sat/membership_1767</t>
  </si>
  <si>
    <t>examples/regex/regexlib/RegexMembership/sat/membership_394</t>
  </si>
  <si>
    <t>examples/regex/regexlib/RegexMembership/sat/membership_1777</t>
  </si>
  <si>
    <t>examples/regex/regexlib/RegexMembership/sat/membership_384</t>
  </si>
  <si>
    <t>examples/regex/regexlib/RegexMembership/sat/membership_1132</t>
  </si>
  <si>
    <t>examples/regex/regexlib/RegexMembership/sat/membership_1122</t>
  </si>
  <si>
    <t>examples/regex/regexlib/RegexMembership/sat/membership_525</t>
  </si>
  <si>
    <t>examples/regex/regexlib/RegexMembership/sat/membership_535</t>
  </si>
  <si>
    <t>examples/regex/regexlib/RegexMembership/sat/membership_208</t>
  </si>
  <si>
    <t>examples/regex/regexlib/RegexMembership/sat/membership_1783</t>
  </si>
  <si>
    <t>examples/regex/regexlib/RegexMembership/sat/membership_370</t>
  </si>
  <si>
    <t>examples/regex/regexlib/RegexMembership/sat/membership_1793</t>
  </si>
  <si>
    <t>examples/regex/regexlib/RegexMembership/sat/membership_218</t>
  </si>
  <si>
    <t>examples/regex/regexlib/RegexMembership/sat/membership_360</t>
  </si>
  <si>
    <t>examples/regex/regexlib/RegexMembership/sat/membership_643</t>
  </si>
  <si>
    <t>examples/regex/regexlib/RegexMembership/sat/membership_653</t>
  </si>
  <si>
    <t>examples/regex/regexlib/RegexMembership/sat/membership_936</t>
  </si>
  <si>
    <t>examples/regex/regexlib/RegexMembership/sat/membership_1524</t>
  </si>
  <si>
    <t>examples/regex/regexlib/RegexMembership/sat/membership_926</t>
  </si>
  <si>
    <t>examples/regex/regexlib/RegexMembership/sat/membership_1534</t>
  </si>
  <si>
    <t>examples/regex/regexlib/RegexMembership/sat/membership_782</t>
  </si>
  <si>
    <t>examples/regex/regexlib/RegexMembership/sat/membership_1209</t>
  </si>
  <si>
    <t>examples/regex/regexlib/RegexMembership/sat/membership_1371</t>
  </si>
  <si>
    <t>examples/regex/regexlib/RegexMembership/sat/membership_1219</t>
  </si>
  <si>
    <t>examples/regex/regexlib/RegexMembership/sat/membership_792</t>
  </si>
  <si>
    <t>examples/regex/regexlib/RegexMembership/sat/membership_1361</t>
  </si>
  <si>
    <t>examples/regex/regexlib/RegexMembership/sat/membership_1017</t>
  </si>
  <si>
    <t>examples/regex/regexlib/RegexMembership/sat/membership_1007</t>
  </si>
  <si>
    <t>examples/regex/regexlib/RegexMembership/sat/membership_1642</t>
  </si>
  <si>
    <t>examples/regex/regexlib/RegexMembership/sat/membership_1652</t>
  </si>
  <si>
    <t>examples/regex/regexlib/RegexMembership/sat/membership_1758</t>
  </si>
  <si>
    <t>examples/regex/regexlib/RegexMembership/sat/membership_1620</t>
  </si>
  <si>
    <t>examples/regex/regexlib/RegexMembership/sat/membership_86</t>
  </si>
  <si>
    <t>examples/regex/regexlib/RegexMembership/sat/membership_1748</t>
  </si>
  <si>
    <t>examples/regex/regexlib/RegexMembership/sat/membership_1630</t>
  </si>
  <si>
    <t>examples/regex/regexlib/RegexMembership/sat/membership_96</t>
  </si>
  <si>
    <t>examples/regex/regexlib/RegexMembership/sat/membership_1894</t>
  </si>
  <si>
    <t>examples/regex/regexlib/RegexMembership/sat/membership_486</t>
  </si>
  <si>
    <t>examples/regex/regexlib/RegexMembership/sat/membership_1075</t>
  </si>
  <si>
    <t>examples/regex/regexlib/RegexMembership/sat/membership_1884</t>
  </si>
  <si>
    <t>examples/regex/regexlib/RegexMembership/sat/membership_496</t>
  </si>
  <si>
    <t>examples/regex/regexlib/RegexMembership/sat/membership_1065</t>
  </si>
  <si>
    <t>examples/regex/regexlib/RegexMembership/sat/membership_1313</t>
  </si>
  <si>
    <t>examples/regex/regexlib/RegexMembership/sat/membership_698</t>
  </si>
  <si>
    <t>examples/regex/regexlib/RegexMembership/sat/membership_688</t>
  </si>
  <si>
    <t>examples/regex/regexlib/RegexMembership/sat/membership_1303</t>
  </si>
  <si>
    <t>examples/regex/regexlib/RegexMembership/sat/membership_954</t>
  </si>
  <si>
    <t>examples/regex/regexlib/RegexMembership/sat/membership_1546</t>
  </si>
  <si>
    <t>examples/regex/regexlib/RegexMembership/sat/membership_6</t>
  </si>
  <si>
    <t>examples/regex/regexlib/RegexMembership/sat/membership_944</t>
  </si>
  <si>
    <t>examples/regex/regexlib/RegexMembership/sat/membership_1556</t>
  </si>
  <si>
    <t>examples/regex/regexlib/RegexMembership/sat/membership_759</t>
  </si>
  <si>
    <t>examples/regex/regexlib/RegexMembership/sat/membership_621</t>
  </si>
  <si>
    <t>examples/regex/regexlib/RegexMembership/sat/membership_749</t>
  </si>
  <si>
    <t>examples/regex/regexlib/RegexMembership/sat/membership_631</t>
  </si>
  <si>
    <t>examples/regex/regexlib/RegexMembership/sat/membership_1487</t>
  </si>
  <si>
    <t>examples/regex/regexlib/RegexMembership/sat/membership_895</t>
  </si>
  <si>
    <t>examples/regex/regexlib/RegexMembership/sat/membership_1497</t>
  </si>
  <si>
    <t>examples/regex/regexlib/RegexMembership/sat/membership_885</t>
  </si>
  <si>
    <t>examples/regex/regexlib/RegexMembership/sat/membership_1699</t>
  </si>
  <si>
    <t>examples/regex/regexlib/RegexMembership/sat/membership_312</t>
  </si>
  <si>
    <t>examples/regex/regexlib/RegexMembership/sat/membership_302</t>
  </si>
  <si>
    <t>examples/regex/regexlib/RegexMembership/sat/membership_1689</t>
  </si>
  <si>
    <t>examples/regex/regexlib/RegexMembership/sat/membership_547</t>
  </si>
  <si>
    <t>examples/regex/regexlib/RegexMembership/sat/membership_557</t>
  </si>
  <si>
    <t>examples/regex/regexlib/RegexMembership/sat/membership_715</t>
  </si>
  <si>
    <t>examples/regex/regexlib/RegexMembership/sat/membership_705</t>
  </si>
  <si>
    <t>examples/regex/regexlib/RegexMembership/sat/membership_140</t>
  </si>
  <si>
    <t>examples/regex/regexlib/RegexMembership/sat/membership_150</t>
  </si>
  <si>
    <t>examples/regex/regexlib/RegexMembership/sat/membership_73</t>
  </si>
  <si>
    <t>examples/regex/regexlib/RegexMembership/sat/membership_226</t>
  </si>
  <si>
    <t>examples/regex/regexlib/RegexMembership/sat/membership_63</t>
  </si>
  <si>
    <t>examples/regex/regexlib/RegexMembership/sat/membership_236</t>
  </si>
  <si>
    <t>examples/regex/regexlib/RegexMembership/sat/membership_1080</t>
  </si>
  <si>
    <t>examples/regex/regexlib/RegexMembership/sat/membership_1919</t>
  </si>
  <si>
    <t>examples/regex/regexlib/RegexMembership/sat/membership_1861</t>
  </si>
  <si>
    <t>examples/regex/regexlib/RegexMembership/sat/membership_473</t>
  </si>
  <si>
    <t>examples/regex/regexlib/RegexMembership/sat/membership_1909</t>
  </si>
  <si>
    <t>examples/regex/regexlib/RegexMembership/sat/membership_1090</t>
  </si>
  <si>
    <t>examples/regex/regexlib/RegexMembership/sat/membership_1871</t>
  </si>
  <si>
    <t>examples/regex/regexlib/RegexMembership/sat/membership_463</t>
  </si>
  <si>
    <t>examples/regex/regexlib/RegexMembership/sat/membership_1714</t>
  </si>
  <si>
    <t>examples/regex/regexlib/RegexMembership/sat/membership_1704</t>
  </si>
  <si>
    <t>examples/regex/regexlib/RegexMembership/sat/membership_1039</t>
  </si>
  <si>
    <t>examples/regex/regexlib/RegexMembership/sat/membership_1141</t>
  </si>
  <si>
    <t>examples/regex/regexlib/RegexMembership/sat/membership_1029</t>
  </si>
  <si>
    <t>examples/regex/regexlib/RegexMembership/sat/membership_1151</t>
  </si>
  <si>
    <t>examples/regex/regexlib/RegexMembership/sat/membership_1227</t>
  </si>
  <si>
    <t>examples/regex/regexlib/RegexMembership/sat/membership_1237</t>
  </si>
  <si>
    <t>examples/regex/regexlib/RegexMembership/sat/membership_918</t>
  </si>
  <si>
    <t>examples/regex/regexlib/RegexMembership/sat/membership_1472</t>
  </si>
  <si>
    <t>examples/regex/regexlib/RegexMembership/sat/membership_860</t>
  </si>
  <si>
    <t>examples/regex/regexlib/RegexMembership/sat/membership_908</t>
  </si>
  <si>
    <t>examples/regex/regexlib/RegexMembership/sat/membership_1462</t>
  </si>
  <si>
    <t>examples/regex/regexlib/RegexMembership/sat/membership_870</t>
  </si>
  <si>
    <t>examples/regex/regexlib/RegexMembership/sat/membership_1568</t>
  </si>
  <si>
    <t>examples/regex/regexlib/RegexMembership/sat/membership_1410</t>
  </si>
  <si>
    <t>examples/regex/regexlib/RegexMembership/sat/membership_802</t>
  </si>
  <si>
    <t>examples/regex/regexlib/RegexMembership/sat/membership_1578</t>
  </si>
  <si>
    <t>examples/regex/regexlib/RegexMembership/sat/membership_1400</t>
  </si>
  <si>
    <t>examples/regex/regexlib/RegexMembership/sat/membership_812</t>
  </si>
  <si>
    <t>examples/regex/regexlib/RegexMembership/sat/membership_1245</t>
  </si>
  <si>
    <t>examples/regex/regexlib/RegexMembership/sat/membership_1255</t>
  </si>
  <si>
    <t>examples/regex/regexlib/RegexMembership/sat/membership_1123</t>
  </si>
  <si>
    <t>examples/regex/regexlib/RegexMembership/sat/membership_1133</t>
  </si>
  <si>
    <t>examples/regex/regexlib/RegexMembership/sat/membership_385</t>
  </si>
  <si>
    <t>examples/regex/regexlib/RegexMembership/sat/membership_1776</t>
  </si>
  <si>
    <t>examples/regex/regexlib/RegexMembership/sat/membership_395</t>
  </si>
  <si>
    <t>examples/regex/regexlib/RegexMembership/sat/membership_1766</t>
  </si>
  <si>
    <t>examples/regex/regexlib/RegexMembership/sat/membership_569</t>
  </si>
  <si>
    <t>examples/regex/regexlib/RegexMembership/sat/membership_1803</t>
  </si>
  <si>
    <t>examples/regex/regexlib/RegexMembership/sat/membership_411</t>
  </si>
  <si>
    <t>examples/regex/regexlib/RegexMembership/sat/membership_579</t>
  </si>
  <si>
    <t>examples/regex/regexlib/RegexMembership/sat/membership_1813</t>
  </si>
  <si>
    <t>examples/regex/regexlib/RegexMembership/sat/membership_401</t>
  </si>
  <si>
    <t>examples/regex/regexlib/RegexMembership/sat/membership_11</t>
  </si>
  <si>
    <t>examples/regex/regexlib/RegexMembership/sat/membership_244</t>
  </si>
  <si>
    <t>examples/regex/regexlib/RegexMembership/sat/membership_254</t>
  </si>
  <si>
    <t>examples/regex/regexlib/RegexMembership/sat/membership_122</t>
  </si>
  <si>
    <t>examples/regex/regexlib/RegexMembership/sat/membership_132</t>
  </si>
  <si>
    <t>examples/regex/regexlib/RegexMembership/sat/membership_1384</t>
  </si>
  <si>
    <t>examples/regex/regexlib/RegexMembership/sat/membership_777</t>
  </si>
  <si>
    <t>examples/regex/regexlib/RegexMembership/sat/membership_1394</t>
  </si>
  <si>
    <t>examples/regex/regexlib/RegexMembership/sat/membership_767</t>
  </si>
  <si>
    <t>examples/regex/regexlib/RegexMembership/sat/membership_1360</t>
  </si>
  <si>
    <t>examples/regex/regexlib/RegexMembership/sat/membership_1218</t>
  </si>
  <si>
    <t>examples/regex/regexlib/RegexMembership/sat/membership_793</t>
  </si>
  <si>
    <t>examples/regex/regexlib/RegexMembership/sat/membership_1370</t>
  </si>
  <si>
    <t>examples/regex/regexlib/RegexMembership/sat/membership_783</t>
  </si>
  <si>
    <t>examples/regex/regexlib/RegexMembership/sat/membership_1208</t>
  </si>
  <si>
    <t>examples/regex/regexlib/RegexMembership/sat/membership_1535</t>
  </si>
  <si>
    <t>examples/regex/regexlib/RegexMembership/sat/membership_927</t>
  </si>
  <si>
    <t>examples/regex/regexlib/RegexMembership/sat/membership_1525</t>
  </si>
  <si>
    <t>examples/regex/regexlib/RegexMembership/sat/membership_937</t>
  </si>
  <si>
    <t>examples/regex/regexlib/RegexMembership/sat/membership_1653</t>
  </si>
  <si>
    <t>examples/regex/regexlib/RegexMembership/sat/membership_1643</t>
  </si>
  <si>
    <t>examples/regex/regexlib/RegexMembership/sat/membership_1006</t>
  </si>
  <si>
    <t>examples/regex/regexlib/RegexMembership/sat/membership_1016</t>
  </si>
  <si>
    <t>examples/regex/regexlib/RegexMembership/sat/membership_361</t>
  </si>
  <si>
    <t>examples/regex/regexlib/RegexMembership/sat/membership_1792</t>
  </si>
  <si>
    <t>examples/regex/regexlib/RegexMembership/sat/membership_219</t>
  </si>
  <si>
    <t>examples/regex/regexlib/RegexMembership/sat/membership_371</t>
  </si>
  <si>
    <t>examples/regex/regexlib/RegexMembership/sat/membership_209</t>
  </si>
  <si>
    <t>examples/regex/regexlib/RegexMembership/sat/membership_1782</t>
  </si>
  <si>
    <t>examples/regex/regexlib/RegexMembership/sat/membership_534</t>
  </si>
  <si>
    <t>examples/regex/regexlib/RegexMembership/sat/membership_524</t>
  </si>
  <si>
    <t>examples/regex/regexlib/RegexMembership/sat/membership_652</t>
  </si>
  <si>
    <t>examples/regex/regexlib/RegexMembership/sat/membership_642</t>
  </si>
  <si>
    <t>examples/regex/regexlib/RegexMembership/sat/membership_884</t>
  </si>
  <si>
    <t>examples/regex/regexlib/RegexMembership/sat/membership_1496</t>
  </si>
  <si>
    <t>examples/regex/regexlib/RegexMembership/sat/membership_894</t>
  </si>
  <si>
    <t>examples/regex/regexlib/RegexMembership/sat/membership_1486</t>
  </si>
  <si>
    <t>examples/regex/regexlib/RegexMembership/sat/membership_630</t>
  </si>
  <si>
    <t>examples/regex/regexlib/RegexMembership/sat/membership_748</t>
  </si>
  <si>
    <t>examples/regex/regexlib/RegexMembership/sat/membership_620</t>
  </si>
  <si>
    <t>examples/regex/regexlib/RegexMembership/sat/membership_758</t>
  </si>
  <si>
    <t>examples/regex/regexlib/RegexMembership/sat/membership_556</t>
  </si>
  <si>
    <t>examples/regex/regexlib/RegexMembership/sat/membership_546</t>
  </si>
  <si>
    <t>examples/regex/regexlib/RegexMembership/sat/membership_303</t>
  </si>
  <si>
    <t>examples/regex/regexlib/RegexMembership/sat/membership_1688</t>
  </si>
  <si>
    <t>examples/regex/regexlib/RegexMembership/sat/membership_1698</t>
  </si>
  <si>
    <t>examples/regex/regexlib/RegexMembership/sat/membership_313</t>
  </si>
  <si>
    <t>examples/regex/regexlib/RegexMembership/sat/membership_1064</t>
  </si>
  <si>
    <t>examples/regex/regexlib/RegexMembership/sat/membership_497</t>
  </si>
  <si>
    <t>examples/regex/regexlib/RegexMembership/sat/membership_1885</t>
  </si>
  <si>
    <t>examples/regex/regexlib/RegexMembership/sat/membership_1074</t>
  </si>
  <si>
    <t>examples/regex/regexlib/RegexMembership/sat/membership_487</t>
  </si>
  <si>
    <t>examples/regex/regexlib/RegexMembership/sat/membership_1895</t>
  </si>
  <si>
    <t>examples/regex/regexlib/RegexMembership/sat/membership_97</t>
  </si>
  <si>
    <t>examples/regex/regexlib/RegexMembership/sat/membership_1631</t>
  </si>
  <si>
    <t>examples/regex/regexlib/RegexMembership/sat/membership_1749</t>
  </si>
  <si>
    <t>examples/regex/regexlib/RegexMembership/sat/membership_87</t>
  </si>
  <si>
    <t>examples/regex/regexlib/RegexMembership/sat/membership_1621</t>
  </si>
  <si>
    <t>examples/regex/regexlib/RegexMembership/sat/membership_1759</t>
  </si>
  <si>
    <t>examples/regex/regexlib/RegexMembership/sat/membership_1557</t>
  </si>
  <si>
    <t>examples/regex/regexlib/RegexMembership/sat/membership_945</t>
  </si>
  <si>
    <t>examples/regex/regexlib/RegexMembership/sat/membership_7</t>
  </si>
  <si>
    <t>examples/regex/regexlib/RegexMembership/sat/membership_1547</t>
  </si>
  <si>
    <t>examples/regex/regexlib/RegexMembership/sat/membership_955</t>
  </si>
  <si>
    <t>examples/regex/regexlib/RegexMembership/sat/membership_689</t>
  </si>
  <si>
    <t>examples/regex/regexlib/RegexMembership/sat/membership_1302</t>
  </si>
  <si>
    <t>examples/regex/regexlib/RegexMembership/sat/membership_1312</t>
  </si>
  <si>
    <t>examples/regex/regexlib/RegexMembership/sat/membership_699</t>
  </si>
  <si>
    <t>examples/regex/regexlib/RegexMembership/sat/membership_1571</t>
  </si>
  <si>
    <t>examples/regex/regexlib/RegexMembership/sat/membership_963</t>
  </si>
  <si>
    <t>examples/regex/regexlib/RegexMembership/sat/membership_1409</t>
  </si>
  <si>
    <t>examples/regex/regexlib/RegexMembership/sat/membership_182</t>
  </si>
  <si>
    <t>examples/regex/regexlib/RegexMembership/sat/membership_1561</t>
  </si>
  <si>
    <t>examples/regex/regexlib/RegexMembership/sat/membership_973</t>
  </si>
  <si>
    <t>examples/regex/regexlib/RegexMembership/sat/membership_192</t>
  </si>
  <si>
    <t>examples/regex/regexlib/RegexMembership/sat/membership_1419</t>
  </si>
  <si>
    <t>examples/regex/regexlib/RegexMembership/sat/membership_1324</t>
  </si>
  <si>
    <t>examples/regex/regexlib/RegexMembership/sat/membership_1334</t>
  </si>
  <si>
    <t>examples/regex/regexlib/RegexMembership/sat/membership_1042</t>
  </si>
  <si>
    <t>examples/regex/regexlib/RegexMembership/sat/membership_1052</t>
  </si>
  <si>
    <t>examples/regex/regexlib/RegexMembership/sat/membership_1617</t>
  </si>
  <si>
    <t>examples/regex/regexlib/RegexMembership/sat/membership_1607</t>
  </si>
  <si>
    <t>examples/regex/regexlib/RegexMembership/sat/membership_570</t>
  </si>
  <si>
    <t>examples/regex/regexlib/RegexMembership/sat/membership_1183</t>
  </si>
  <si>
    <t>examples/regex/regexlib/RegexMembership/sat/membership_408</t>
  </si>
  <si>
    <t>examples/regex/regexlib/RegexMembership/sat/membership_560</t>
  </si>
  <si>
    <t>examples/regex/regexlib/RegexMembership/sat/membership_418</t>
  </si>
  <si>
    <t>examples/regex/regexlib/RegexMembership/sat/membership_1193</t>
  </si>
  <si>
    <t>examples/regex/regexlib/RegexMembership/sat/membership_325</t>
  </si>
  <si>
    <t>examples/regex/regexlib/RegexMembership/sat/membership_335</t>
  </si>
  <si>
    <t>examples/regex/regexlib/RegexMembership/sat/membership_18</t>
  </si>
  <si>
    <t>examples/regex/regexlib/RegexMembership/sat/membership_616</t>
  </si>
  <si>
    <t>examples/regex/regexlib/RegexMembership/sat/membership_606</t>
  </si>
  <si>
    <t>examples/regex/regexlib/RegexMembership/sat/membership_674</t>
  </si>
  <si>
    <t>examples/regex/regexlib/RegexMembership/sat/membership_1287</t>
  </si>
  <si>
    <t>examples/regex/regexlib/RegexMembership/sat/membership_664</t>
  </si>
  <si>
    <t>examples/regex/regexlib/RegexMembership/sat/membership_1297</t>
  </si>
  <si>
    <t>examples/regex/regexlib/RegexMembership/sat/membership_159</t>
  </si>
  <si>
    <t>examples/regex/regexlib/RegexMembership/sat/membership_149</t>
  </si>
  <si>
    <t>examples/regex/regexlib/RegexMembership/sat/membership_347</t>
  </si>
  <si>
    <t>examples/regex/regexlib/RegexMembership/sat/membership_357</t>
  </si>
  <si>
    <t>examples/regex/regexlib/RegexMembership/sat/membership_1900</t>
  </si>
  <si>
    <t>examples/regex/regexlib/RegexMembership/sat/membership_512</t>
  </si>
  <si>
    <t>examples/regex/regexlib/RegexMembership/sat/membership_1099</t>
  </si>
  <si>
    <t>examples/regex/regexlib/RegexMembership/sat/membership_1878</t>
  </si>
  <si>
    <t>examples/regex/regexlib/RegexMembership/sat/membership_1089</t>
  </si>
  <si>
    <t>examples/regex/regexlib/RegexMembership/sat/membership_1910</t>
  </si>
  <si>
    <t>examples/regex/regexlib/RegexMembership/sat/membership_502</t>
  </si>
  <si>
    <t>examples/regex/regexlib/RegexMembership/sat/membership_1868</t>
  </si>
  <si>
    <t>examples/regex/regexlib/RegexMembership/sat/membership_1675</t>
  </si>
  <si>
    <t>examples/regex/regexlib/RegexMembership/sat/membership_286</t>
  </si>
  <si>
    <t>examples/regex/regexlib/RegexMembership/sat/membership_1665</t>
  </si>
  <si>
    <t>examples/regex/regexlib/RegexMembership/sat/membership_296</t>
  </si>
  <si>
    <t>examples/regex/regexlib/RegexMembership/sat/membership_1020</t>
  </si>
  <si>
    <t>examples/regex/regexlib/RegexMembership/sat/membership_1158</t>
  </si>
  <si>
    <t>examples/regex/regexlib/RegexMembership/sat/membership_1030</t>
  </si>
  <si>
    <t>examples/regex/regexlib/RegexMembership/sat/membership_1148</t>
  </si>
  <si>
    <t>examples/regex/regexlib/RegexMembership/sat/membership_1346</t>
  </si>
  <si>
    <t>examples/regex/regexlib/RegexMembership/sat/membership_1356</t>
  </si>
  <si>
    <t>examples/regex/regexlib/RegexMembership/sat/membership_1513</t>
  </si>
  <si>
    <t>examples/regex/regexlib/RegexMembership/sat/membership_901</t>
  </si>
  <si>
    <t>examples/regex/regexlib/RegexMembership/sat/membership_879</t>
  </si>
  <si>
    <t>examples/regex/regexlib/RegexMembership/sat/membership_1503</t>
  </si>
  <si>
    <t>examples/regex/regexlib/RegexMembership/sat/membership_911</t>
  </si>
  <si>
    <t>examples/regex/regexlib/RegexMembership/sat/membership_869</t>
  </si>
  <si>
    <t>examples/regex/regexlib/RegexMembership/sat/membership_104</t>
  </si>
  <si>
    <t>examples/regex/regexlib/RegexMembership/sat/membership_114</t>
  </si>
  <si>
    <t>examples/regex/regexlib/RegexMembership/sat/membership_629</t>
  </si>
  <si>
    <t>examples/regex/regexlib/RegexMembership/sat/membership_751</t>
  </si>
  <si>
    <t>examples/regex/regexlib/RegexMembership/sat/membership_639</t>
  </si>
  <si>
    <t>examples/regex/regexlib/RegexMembership/sat/membership_741</t>
  </si>
  <si>
    <t>examples/regex/regexlib/RegexMembership/sat/membership_1825</t>
  </si>
  <si>
    <t>examples/regex/regexlib/RegexMembership/sat/membership_437</t>
  </si>
  <si>
    <t>examples/regex/regexlib/RegexMembership/sat/membership_1835</t>
  </si>
  <si>
    <t>examples/regex/regexlib/RegexMembership/sat/membership_1691</t>
  </si>
  <si>
    <t>examples/regex/regexlib/RegexMembership/sat/membership_37</t>
  </si>
  <si>
    <t>examples/regex/regexlib/RegexMembership/sat/membership_262</t>
  </si>
  <si>
    <t>examples/regex/regexlib/RegexMembership/sat/membership_1681</t>
  </si>
  <si>
    <t>examples/regex/regexlib/RegexMembership/sat/membership_27</t>
  </si>
  <si>
    <t>examples/regex/regexlib/RegexMembership/sat/membership_272</t>
  </si>
  <si>
    <t>examples/regex/regexlib/RegexMembership/sat/membership_1105</t>
  </si>
  <si>
    <t>examples/regex/regexlib/RegexMembership/sat/membership_1115</t>
  </si>
  <si>
    <t>examples/regex/regexlib/RegexMembership/sat/membership_1628</t>
  </si>
  <si>
    <t>examples/regex/regexlib/RegexMembership/sat/membership_1750</t>
  </si>
  <si>
    <t>examples/regex/regexlib/RegexMembership/sat/membership_1638</t>
  </si>
  <si>
    <t>examples/regex/regexlib/RegexMembership/sat/membership_1740</t>
  </si>
  <si>
    <t>examples/regex/regexlib/RegexMembership/sat/membership_1436</t>
  </si>
  <si>
    <t>examples/regex/regexlib/RegexMembership/sat/membership_824</t>
  </si>
  <si>
    <t>examples/regex/regexlib/RegexMembership/sat/membership_1426</t>
  </si>
  <si>
    <t>examples/regex/regexlib/RegexMembership/sat/membership_834</t>
  </si>
  <si>
    <t>examples/regex/regexlib/RegexMembership/sat/membership_690</t>
  </si>
  <si>
    <t>examples/regex/regexlib/RegexMembership/sat/membership_1263</t>
  </si>
  <si>
    <t>examples/regex/regexlib/RegexMembership/sat/membership_680</t>
  </si>
  <si>
    <t>examples/regex/regexlib/RegexMembership/sat/membership_1379</t>
  </si>
  <si>
    <t>examples/regex/regexlib/RegexMembership/sat/membership_1201</t>
  </si>
  <si>
    <t>examples/regex/regexlib/RegexMembership/sat/membership_1369</t>
  </si>
  <si>
    <t>examples/regex/regexlib/RegexMembership/sat/membership_1211</t>
  </si>
  <si>
    <t>examples/regex/regexlib/RegexMembership/sat/membership_1454</t>
  </si>
  <si>
    <t>examples/regex/regexlib/RegexMembership/sat/membership_846</t>
  </si>
  <si>
    <t>examples/regex/regexlib/RegexMembership/sat/membership_1444</t>
  </si>
  <si>
    <t>examples/regex/regexlib/RegexMembership/sat/membership_856</t>
  </si>
  <si>
    <t>examples/regex/regexlib/RegexMembership/sat/membership_1732</t>
  </si>
  <si>
    <t>examples/regex/regexlib/RegexMembership/sat/membership_1722</t>
  </si>
  <si>
    <t>examples/regex/regexlib/RegexMembership/sat/membership_594</t>
  </si>
  <si>
    <t>examples/regex/regexlib/RegexMembership/sat/membership_1167</t>
  </si>
  <si>
    <t>examples/regex/regexlib/RegexMembership/sat/membership_584</t>
  </si>
  <si>
    <t>examples/regex/regexlib/RegexMembership/sat/membership_1177</t>
  </si>
  <si>
    <t>examples/regex/regexlib/RegexMembership/sat/membership_378</t>
  </si>
  <si>
    <t>examples/regex/regexlib/RegexMembership/sat/membership_55</t>
  </si>
  <si>
    <t>examples/regex/regexlib/RegexMembership/sat/membership_200</t>
  </si>
  <si>
    <t>examples/regex/regexlib/RegexMembership/sat/membership_45</t>
  </si>
  <si>
    <t>examples/regex/regexlib/RegexMembership/sat/membership_368</t>
  </si>
  <si>
    <t>examples/regex/regexlib/RegexMembership/sat/membership_210</t>
  </si>
  <si>
    <t>examples/regex/regexlib/RegexMembership/sat/membership_1847</t>
  </si>
  <si>
    <t>examples/regex/regexlib/RegexMembership/sat/membership_455</t>
  </si>
  <si>
    <t>examples/regex/regexlib/RegexMembership/sat/membership_1857</t>
  </si>
  <si>
    <t>examples/regex/regexlib/RegexMembership/sat/membership_445</t>
  </si>
  <si>
    <t>examples/regex/regexlib/RegexMembership/sat/membership_733</t>
  </si>
  <si>
    <t>examples/regex/regexlib/RegexMembership/sat/membership_723</t>
  </si>
  <si>
    <t>examples/regex/regexlib/RegexMembership/sat/membership_987</t>
  </si>
  <si>
    <t>examples/regex/regexlib/RegexMembership/sat/membership_1595</t>
  </si>
  <si>
    <t>examples/regex/regexlib/RegexMembership/sat/membership_166</t>
  </si>
  <si>
    <t>examples/regex/regexlib/RegexMembership/sat/membership_997</t>
  </si>
  <si>
    <t>examples/regex/regexlib/RegexMembership/sat/membership_1585</t>
  </si>
  <si>
    <t>examples/regex/regexlib/RegexMembership/sat/membership_176</t>
  </si>
  <si>
    <t>examples/regex/regexlib/RegexMembership/sat/membership_397</t>
  </si>
  <si>
    <t>examples/regex/regexlib/RegexMembership/sat/membership_1764</t>
  </si>
  <si>
    <t>examples/regex/regexlib/RegexMembership/sat/membership_387</t>
  </si>
  <si>
    <t>examples/regex/regexlib/RegexMembership/sat/membership_1774</t>
  </si>
  <si>
    <t>examples/regex/regexlib/RegexMembership/sat/membership_1049</t>
  </si>
  <si>
    <t>examples/regex/regexlib/RegexMembership/sat/membership_1131</t>
  </si>
  <si>
    <t>examples/regex/regexlib/RegexMembership/sat/membership_1059</t>
  </si>
  <si>
    <t>examples/regex/regexlib/RegexMembership/sat/membership_1121</t>
  </si>
  <si>
    <t>examples/regex/regexlib/RegexMembership/sat/membership_1257</t>
  </si>
  <si>
    <t>examples/regex/regexlib/RegexMembership/sat/membership_1247</t>
  </si>
  <si>
    <t>examples/regex/regexlib/RegexMembership/sat/membership_968</t>
  </si>
  <si>
    <t>examples/regex/regexlib/RegexMembership/sat/membership_189</t>
  </si>
  <si>
    <t>examples/regex/regexlib/RegexMembership/sat/membership_810</t>
  </si>
  <si>
    <t>examples/regex/regexlib/RegexMembership/sat/membership_1402</t>
  </si>
  <si>
    <t>examples/regex/regexlib/RegexMembership/sat/membership_978</t>
  </si>
  <si>
    <t>examples/regex/regexlib/RegexMembership/sat/membership_800</t>
  </si>
  <si>
    <t>examples/regex/regexlib/RegexMembership/sat/membership_1412</t>
  </si>
  <si>
    <t>examples/regex/regexlib/RegexMembership/sat/membership_199</t>
  </si>
  <si>
    <t>examples/regex/regexlib/RegexMembership/sat/membership_1396</t>
  </si>
  <si>
    <t>examples/regex/regexlib/RegexMembership/sat/membership_765</t>
  </si>
  <si>
    <t>examples/regex/regexlib/RegexMembership/sat/membership_130</t>
  </si>
  <si>
    <t>examples/regex/regexlib/RegexMembership/sat/membership_120</t>
  </si>
  <si>
    <t>examples/regex/regexlib/RegexMembership/sat/membership_256</t>
  </si>
  <si>
    <t>examples/regex/regexlib/RegexMembership/sat/membership_13</t>
  </si>
  <si>
    <t>examples/regex/regexlib/RegexMembership/sat/membership_246</t>
  </si>
  <si>
    <t>examples/regex/regexlib/RegexMembership/sat/membership_403</t>
  </si>
  <si>
    <t>examples/regex/regexlib/RegexMembership/sat/membership_1811</t>
  </si>
  <si>
    <t>examples/regex/regexlib/RegexMembership/sat/membership_1188</t>
  </si>
  <si>
    <t>examples/regex/regexlib/RegexMembership/sat/membership_1198</t>
  </si>
  <si>
    <t>examples/regex/regexlib/RegexMembership/sat/membership_413</t>
  </si>
  <si>
    <t>examples/regex/regexlib/RegexMembership/sat/membership_1801</t>
  </si>
  <si>
    <t>examples/regex/regexlib/RegexMembership/sat/membership_1092</t>
  </si>
  <si>
    <t>examples/regex/regexlib/RegexMembership/sat/membership_519</t>
  </si>
  <si>
    <t>examples/regex/regexlib/RegexMembership/sat/membership_461</t>
  </si>
  <si>
    <t>examples/regex/regexlib/RegexMembership/sat/membership_1873</t>
  </si>
  <si>
    <t>examples/regex/regexlib/RegexMembership/sat/membership_509</t>
  </si>
  <si>
    <t>examples/regex/regexlib/RegexMembership/sat/membership_1082</t>
  </si>
  <si>
    <t>examples/regex/regexlib/RegexMembership/sat/membership_1863</t>
  </si>
  <si>
    <t>examples/regex/regexlib/RegexMembership/sat/membership_61</t>
  </si>
  <si>
    <t>examples/regex/regexlib/RegexMembership/sat/membership_234</t>
  </si>
  <si>
    <t>examples/regex/regexlib/RegexMembership/sat/membership_71</t>
  </si>
  <si>
    <t>examples/regex/regexlib/RegexMembership/sat/membership_224</t>
  </si>
  <si>
    <t>examples/regex/regexlib/RegexMembership/sat/membership_152</t>
  </si>
  <si>
    <t>examples/regex/regexlib/RegexMembership/sat/membership_142</t>
  </si>
  <si>
    <t>examples/regex/regexlib/RegexMembership/sat/membership_707</t>
  </si>
  <si>
    <t>examples/regex/regexlib/RegexMembership/sat/membership_717</t>
  </si>
  <si>
    <t>examples/regex/regexlib/RegexMembership/sat/membership_1518</t>
  </si>
  <si>
    <t>examples/regex/regexlib/RegexMembership/sat/membership_872</t>
  </si>
  <si>
    <t>examples/regex/regexlib/RegexMembership/sat/membership_1460</t>
  </si>
  <si>
    <t>examples/regex/regexlib/RegexMembership/sat/membership_1508</t>
  </si>
  <si>
    <t>examples/regex/regexlib/RegexMembership/sat/membership_862</t>
  </si>
  <si>
    <t>examples/regex/regexlib/RegexMembership/sat/membership_1470</t>
  </si>
  <si>
    <t>examples/regex/regexlib/RegexMembership/sat/membership_1235</t>
  </si>
  <si>
    <t>examples/regex/regexlib/RegexMembership/sat/membership_1225</t>
  </si>
  <si>
    <t>examples/regex/regexlib/RegexMembership/sat/membership_1153</t>
  </si>
  <si>
    <t>examples/regex/regexlib/RegexMembership/sat/membership_1143</t>
  </si>
  <si>
    <t>examples/regex/regexlib/RegexMembership/sat/membership_1706</t>
  </si>
  <si>
    <t>examples/regex/regexlib/RegexMembership/sat/membership_1716</t>
  </si>
  <si>
    <t>examples/regex/regexlib/RegexMembership/sat/membership_311</t>
  </si>
  <si>
    <t>examples/regex/regexlib/RegexMembership/sat/membership_269</t>
  </si>
  <si>
    <t>examples/regex/regexlib/RegexMembership/sat/membership_301</t>
  </si>
  <si>
    <t>examples/regex/regexlib/RegexMembership/sat/membership_279</t>
  </si>
  <si>
    <t>examples/regex/regexlib/RegexMembership/sat/membership_544</t>
  </si>
  <si>
    <t>examples/regex/regexlib/RegexMembership/sat/membership_554</t>
  </si>
  <si>
    <t>examples/regex/regexlib/RegexMembership/sat/membership_622</t>
  </si>
  <si>
    <t>examples/regex/regexlib/RegexMembership/sat/membership_632</t>
  </si>
  <si>
    <t>examples/regex/regexlib/RegexMembership/sat/membership_1484</t>
  </si>
  <si>
    <t>examples/regex/regexlib/RegexMembership/sat/membership_896</t>
  </si>
  <si>
    <t>examples/regex/regexlib/RegexMembership/sat/membership_1494</t>
  </si>
  <si>
    <t>examples/regex/regexlib/RegexMembership/sat/membership_886</t>
  </si>
  <si>
    <t>examples/regex/regexlib/RegexMembership/sat/membership_1310</t>
  </si>
  <si>
    <t>examples/regex/regexlib/RegexMembership/sat/membership_1268</t>
  </si>
  <si>
    <t>examples/regex/regexlib/RegexMembership/sat/membership_1300</t>
  </si>
  <si>
    <t>examples/regex/regexlib/RegexMembership/sat/membership_1278</t>
  </si>
  <si>
    <t>examples/regex/regexlib/RegexMembership/sat/membership_957</t>
  </si>
  <si>
    <t>examples/regex/regexlib/RegexMembership/sat/membership_1545</t>
  </si>
  <si>
    <t>examples/regex/regexlib/RegexMembership/sat/membership_947</t>
  </si>
  <si>
    <t>examples/regex/regexlib/RegexMembership/sat/membership_1555</t>
  </si>
  <si>
    <t>examples/regex/regexlib/RegexMembership/sat/membership_5</t>
  </si>
  <si>
    <t>examples/regex/regexlib/RegexMembership/sat/membership_1623</t>
  </si>
  <si>
    <t>examples/regex/regexlib/RegexMembership/sat/membership_85</t>
  </si>
  <si>
    <t>examples/regex/regexlib/RegexMembership/sat/membership_1633</t>
  </si>
  <si>
    <t>examples/regex/regexlib/RegexMembership/sat/membership_95</t>
  </si>
  <si>
    <t>examples/regex/regexlib/RegexMembership/sat/membership_1076</t>
  </si>
  <si>
    <t>examples/regex/regexlib/RegexMembership/sat/membership_1897</t>
  </si>
  <si>
    <t>examples/regex/regexlib/RegexMembership/sat/membership_485</t>
  </si>
  <si>
    <t>examples/regex/regexlib/RegexMembership/sat/membership_1066</t>
  </si>
  <si>
    <t>examples/regex/regexlib/RegexMembership/sat/membership_1887</t>
  </si>
  <si>
    <t>examples/regex/regexlib/RegexMembership/sat/membership_495</t>
  </si>
  <si>
    <t>examples/regex/regexlib/RegexMembership/sat/membership_1014</t>
  </si>
  <si>
    <t>examples/regex/regexlib/RegexMembership/sat/membership_1004</t>
  </si>
  <si>
    <t>examples/regex/regexlib/RegexMembership/sat/membership_1641</t>
  </si>
  <si>
    <t>examples/regex/regexlib/RegexMembership/sat/membership_1739</t>
  </si>
  <si>
    <t>examples/regex/regexlib/RegexMembership/sat/membership_1651</t>
  </si>
  <si>
    <t>examples/regex/regexlib/RegexMembership/sat/membership_1729</t>
  </si>
  <si>
    <t>examples/regex/regexlib/RegexMembership/sat/membership_935</t>
  </si>
  <si>
    <t>examples/regex/regexlib/RegexMembership/sat/membership_1527</t>
  </si>
  <si>
    <t>examples/regex/regexlib/RegexMembership/sat/membership_925</t>
  </si>
  <si>
    <t>examples/regex/regexlib/RegexMembership/sat/membership_1537</t>
  </si>
  <si>
    <t>examples/regex/regexlib/RegexMembership/sat/membership_1372</t>
  </si>
  <si>
    <t>examples/regex/regexlib/RegexMembership/sat/membership_781</t>
  </si>
  <si>
    <t>examples/regex/regexlib/RegexMembership/sat/membership_1362</t>
  </si>
  <si>
    <t>examples/regex/regexlib/RegexMembership/sat/membership_791</t>
  </si>
  <si>
    <t>examples/regex/regexlib/RegexMembership/sat/membership_640</t>
  </si>
  <si>
    <t>examples/regex/regexlib/RegexMembership/sat/membership_738</t>
  </si>
  <si>
    <t>examples/regex/regexlib/RegexMembership/sat/membership_650</t>
  </si>
  <si>
    <t>examples/regex/regexlib/RegexMembership/sat/membership_728</t>
  </si>
  <si>
    <t>examples/regex/regexlib/RegexMembership/sat/membership_526</t>
  </si>
  <si>
    <t>examples/regex/regexlib/RegexMembership/sat/membership_536</t>
  </si>
  <si>
    <t>examples/regex/regexlib/RegexMembership/sat/membership_373</t>
  </si>
  <si>
    <t>examples/regex/regexlib/RegexMembership/sat/membership_1780</t>
  </si>
  <si>
    <t>examples/regex/regexlib/RegexMembership/sat/membership_363</t>
  </si>
  <si>
    <t>examples/regex/regexlib/RegexMembership/sat/membership_1790</t>
  </si>
  <si>
    <t>examples/regex/regexlib/RegexMembership/sat/membership_500</t>
  </si>
  <si>
    <t>examples/regex/regexlib/RegexMembership/sat/membership_1912</t>
  </si>
  <si>
    <t>examples/regex/regexlib/RegexMembership/sat/membership_478</t>
  </si>
  <si>
    <t>examples/regex/regexlib/RegexMembership/sat/membership_510</t>
  </si>
  <si>
    <t>examples/regex/regexlib/RegexMembership/sat/membership_1902</t>
  </si>
  <si>
    <t>examples/regex/regexlib/RegexMembership/sat/membership_468</t>
  </si>
  <si>
    <t>examples/regex/regexlib/RegexMembership/sat/membership_355</t>
  </si>
  <si>
    <t>examples/regex/regexlib/RegexMembership/sat/membership_78</t>
  </si>
  <si>
    <t>examples/regex/regexlib/RegexMembership/sat/membership_68</t>
  </si>
  <si>
    <t>examples/regex/regexlib/RegexMembership/sat/membership_345</t>
  </si>
  <si>
    <t>examples/regex/regexlib/RegexMembership/sat/membership_666</t>
  </si>
  <si>
    <t>examples/regex/regexlib/RegexMembership/sat/membership_1295</t>
  </si>
  <si>
    <t>examples/regex/regexlib/RegexMembership/sat/membership_676</t>
  </si>
  <si>
    <t>examples/regex/regexlib/RegexMembership/sat/membership_1285</t>
  </si>
  <si>
    <t>examples/regex/regexlib/RegexMembership/sat/membership_913</t>
  </si>
  <si>
    <t>examples/regex/regexlib/RegexMembership/sat/membership_1501</t>
  </si>
  <si>
    <t>examples/regex/regexlib/RegexMembership/sat/membership_1479</t>
  </si>
  <si>
    <t>examples/regex/regexlib/RegexMembership/sat/membership_903</t>
  </si>
  <si>
    <t>examples/regex/regexlib/RegexMembership/sat/membership_1511</t>
  </si>
  <si>
    <t>examples/regex/regexlib/RegexMembership/sat/membership_1469</t>
  </si>
  <si>
    <t>examples/regex/regexlib/RegexMembership/sat/membership_1354</t>
  </si>
  <si>
    <t>examples/regex/regexlib/RegexMembership/sat/membership_1344</t>
  </si>
  <si>
    <t>examples/regex/regexlib/RegexMembership/sat/membership_1032</t>
  </si>
  <si>
    <t>examples/regex/regexlib/RegexMembership/sat/membership_1022</t>
  </si>
  <si>
    <t>examples/regex/regexlib/RegexMembership/sat/membership_1667</t>
  </si>
  <si>
    <t>examples/regex/regexlib/RegexMembership/sat/membership_294</t>
  </si>
  <si>
    <t>examples/regex/regexlib/RegexMembership/sat/membership_1677</t>
  </si>
  <si>
    <t>examples/regex/regexlib/RegexMembership/sat/membership_284</t>
  </si>
  <si>
    <t>examples/regex/regexlib/RegexMembership/sat/membership_1605</t>
  </si>
  <si>
    <t>examples/regex/regexlib/RegexMembership/sat/membership_1615</t>
  </si>
  <si>
    <t>examples/regex/regexlib/RegexMembership/sat/membership_1050</t>
  </si>
  <si>
    <t>examples/regex/regexlib/RegexMembership/sat/membership_1128</t>
  </si>
  <si>
    <t>examples/regex/regexlib/RegexMembership/sat/membership_1040</t>
  </si>
  <si>
    <t>examples/regex/regexlib/RegexMembership/sat/membership_1138</t>
  </si>
  <si>
    <t>examples/regex/regexlib/RegexMembership/sat/membership_1336</t>
  </si>
  <si>
    <t>examples/regex/regexlib/RegexMembership/sat/membership_1326</t>
  </si>
  <si>
    <t>examples/regex/regexlib/RegexMembership/sat/membership_971</t>
  </si>
  <si>
    <t>examples/regex/regexlib/RegexMembership/sat/membership_1563</t>
  </si>
  <si>
    <t>examples/regex/regexlib/RegexMembership/sat/membership_809</t>
  </si>
  <si>
    <t>examples/regex/regexlib/RegexMembership/sat/membership_190</t>
  </si>
  <si>
    <t>examples/regex/regexlib/RegexMembership/sat/membership_961</t>
  </si>
  <si>
    <t>examples/regex/regexlib/RegexMembership/sat/membership_1573</t>
  </si>
  <si>
    <t>examples/regex/regexlib/RegexMembership/sat/membership_180</t>
  </si>
  <si>
    <t>examples/regex/regexlib/RegexMembership/sat/membership_819</t>
  </si>
  <si>
    <t>examples/regex/regexlib/RegexMembership/sat/membership_604</t>
  </si>
  <si>
    <t>examples/regex/regexlib/RegexMembership/sat/membership_614</t>
  </si>
  <si>
    <t>examples/regex/regexlib/RegexMembership/sat/membership_129</t>
  </si>
  <si>
    <t>examples/regex/regexlib/RegexMembership/sat/membership_139</t>
  </si>
  <si>
    <t>examples/regex/regexlib/RegexMembership/sat/membership_337</t>
  </si>
  <si>
    <t>examples/regex/regexlib/RegexMembership/sat/membership_327</t>
  </si>
  <si>
    <t>examples/regex/regexlib/RegexMembership/sat/membership_562</t>
  </si>
  <si>
    <t>examples/regex/regexlib/RegexMembership/sat/membership_1191</t>
  </si>
  <si>
    <t>examples/regex/regexlib/RegexMembership/sat/membership_1808</t>
  </si>
  <si>
    <t>examples/regex/regexlib/RegexMembership/sat/membership_572</t>
  </si>
  <si>
    <t>examples/regex/regexlib/RegexMembership/sat/membership_1818</t>
  </si>
  <si>
    <t>examples/regex/regexlib/RegexMembership/sat/membership_1181</t>
  </si>
  <si>
    <t>examples/regex/regexlib/RegexMembership/sat/membership_586</t>
  </si>
  <si>
    <t>examples/regex/regexlib/RegexMembership/sat/membership_1175</t>
  </si>
  <si>
    <t>examples/regex/regexlib/RegexMembership/sat/membership_596</t>
  </si>
  <si>
    <t>examples/regex/regexlib/RegexMembership/sat/membership_1165</t>
  </si>
  <si>
    <t>examples/regex/regexlib/RegexMembership/sat/membership_1658</t>
  </si>
  <si>
    <t>examples/regex/regexlib/RegexMembership/sat/membership_1720</t>
  </si>
  <si>
    <t>examples/regex/regexlib/RegexMembership/sat/membership_1648</t>
  </si>
  <si>
    <t>examples/regex/regexlib/RegexMembership/sat/membership_1730</t>
  </si>
  <si>
    <t>examples/regex/regexlib/RegexMembership/sat/membership_854</t>
  </si>
  <si>
    <t>examples/regex/regexlib/RegexMembership/sat/membership_1446</t>
  </si>
  <si>
    <t>examples/regex/regexlib/RegexMembership/sat/membership_844</t>
  </si>
  <si>
    <t>examples/regex/regexlib/RegexMembership/sat/membership_1456</t>
  </si>
  <si>
    <t>examples/regex/regexlib/RegexMembership/sat/membership_798</t>
  </si>
  <si>
    <t>examples/regex/regexlib/RegexMembership/sat/membership_1213</t>
  </si>
  <si>
    <t>examples/regex/regexlib/RegexMembership/sat/membership_1203</t>
  </si>
  <si>
    <t>examples/regex/regexlib/RegexMembership/sat/membership_788</t>
  </si>
  <si>
    <t>examples/regex/regexlib/RegexMembership/sat/membership_1587</t>
  </si>
  <si>
    <t>examples/regex/regexlib/RegexMembership/sat/membership_995</t>
  </si>
  <si>
    <t>examples/regex/regexlib/RegexMembership/sat/membership_174</t>
  </si>
  <si>
    <t>examples/regex/regexlib/RegexMembership/sat/membership_1597</t>
  </si>
  <si>
    <t>examples/regex/regexlib/RegexMembership/sat/membership_985</t>
  </si>
  <si>
    <t>examples/regex/regexlib/RegexMembership/sat/membership_164</t>
  </si>
  <si>
    <t>examples/regex/regexlib/RegexMembership/sat/membership_659</t>
  </si>
  <si>
    <t>examples/regex/regexlib/RegexMembership/sat/membership_721</t>
  </si>
  <si>
    <t>examples/regex/regexlib/RegexMembership/sat/membership_649</t>
  </si>
  <si>
    <t>examples/regex/regexlib/RegexMembership/sat/membership_447</t>
  </si>
  <si>
    <t>examples/regex/regexlib/RegexMembership/sat/membership_1855</t>
  </si>
  <si>
    <t>examples/regex/regexlib/RegexMembership/sat/membership_457</t>
  </si>
  <si>
    <t>examples/regex/regexlib/RegexMembership/sat/membership_1845</t>
  </si>
  <si>
    <t>examples/regex/regexlib/RegexMembership/sat/membership_47</t>
  </si>
  <si>
    <t>examples/regex/regexlib/RegexMembership/sat/membership_212</t>
  </si>
  <si>
    <t>examples/regex/regexlib/RegexMembership/sat/membership_1799</t>
  </si>
  <si>
    <t>examples/regex/regexlib/RegexMembership/sat/membership_57</t>
  </si>
  <si>
    <t>examples/regex/regexlib/RegexMembership/sat/membership_1789</t>
  </si>
  <si>
    <t>examples/regex/regexlib/RegexMembership/sat/membership_202</t>
  </si>
  <si>
    <t>examples/regex/regexlib/RegexMembership/sat/membership_25</t>
  </si>
  <si>
    <t>examples/regex/regexlib/RegexMembership/sat/membership_1683</t>
  </si>
  <si>
    <t>examples/regex/regexlib/RegexMembership/sat/membership_308</t>
  </si>
  <si>
    <t>examples/regex/regexlib/RegexMembership/sat/membership_270</t>
  </si>
  <si>
    <t>examples/regex/regexlib/RegexMembership/sat/membership_318</t>
  </si>
  <si>
    <t>examples/regex/regexlib/RegexMembership/sat/membership_35</t>
  </si>
  <si>
    <t>examples/regex/regexlib/RegexMembership/sat/membership_1693</t>
  </si>
  <si>
    <t>examples/regex/regexlib/RegexMembership/sat/membership_260</t>
  </si>
  <si>
    <t>examples/regex/regexlib/RegexMembership/sat/membership_425</t>
  </si>
  <si>
    <t>examples/regex/regexlib/RegexMembership/sat/membership_1837</t>
  </si>
  <si>
    <t>examples/regex/regexlib/RegexMembership/sat/membership_435</t>
  </si>
  <si>
    <t>examples/regex/regexlib/RegexMembership/sat/membership_1827</t>
  </si>
  <si>
    <t>examples/regex/regexlib/RegexMembership/sat/membership_743</t>
  </si>
  <si>
    <t>examples/regex/regexlib/RegexMembership/sat/membership_753</t>
  </si>
  <si>
    <t>examples/regex/regexlib/RegexMembership/sat/membership_116</t>
  </si>
  <si>
    <t>examples/regex/regexlib/RegexMembership/sat/membership_106</t>
  </si>
  <si>
    <t>examples/regex/regexlib/RegexMembership/sat/membership_1309</t>
  </si>
  <si>
    <t>examples/regex/regexlib/RegexMembership/sat/membership_682</t>
  </si>
  <si>
    <t>examples/regex/regexlib/RegexMembership/sat/membership_1271</t>
  </si>
  <si>
    <t>examples/regex/regexlib/RegexMembership/sat/membership_692</t>
  </si>
  <si>
    <t>examples/regex/regexlib/RegexMembership/sat/membership_1319</t>
  </si>
  <si>
    <t>examples/regex/regexlib/RegexMembership/sat/membership_1261</t>
  </si>
  <si>
    <t>examples/regex/regexlib/RegexMembership/sat/membership_836</t>
  </si>
  <si>
    <t>examples/regex/regexlib/RegexMembership/sat/membership_1424</t>
  </si>
  <si>
    <t>examples/regex/regexlib/RegexMembership/sat/membership_826</t>
  </si>
  <si>
    <t>examples/regex/regexlib/RegexMembership/sat/membership_1742</t>
  </si>
  <si>
    <t>examples/regex/regexlib/RegexMembership/sat/membership_1752</t>
  </si>
  <si>
    <t>examples/regex/regexlib/RegexMembership/sat/membership_1117</t>
  </si>
  <si>
    <t>examples/regex/regexlib/RegexMembership/sat/membership_1107</t>
  </si>
  <si>
    <t>examples/regex/regexlib/RegexMembership/sat/membership_1345</t>
  </si>
  <si>
    <t>examples/regex/regexlib/RegexMembership/sat/membership_1355</t>
  </si>
  <si>
    <t>examples/regex/regexlib/RegexMembership/sat/membership_1468</t>
  </si>
  <si>
    <t>examples/regex/regexlib/RegexMembership/sat/membership_1510</t>
  </si>
  <si>
    <t>examples/regex/regexlib/RegexMembership/sat/membership_902</t>
  </si>
  <si>
    <t>examples/regex/regexlib/RegexMembership/sat/membership_1478</t>
  </si>
  <si>
    <t>examples/regex/regexlib/RegexMembership/sat/membership_1500</t>
  </si>
  <si>
    <t>examples/regex/regexlib/RegexMembership/sat/membership_912</t>
  </si>
  <si>
    <t>examples/regex/regexlib/RegexMembership/sat/membership_285</t>
  </si>
  <si>
    <t>examples/regex/regexlib/RegexMembership/sat/membership_1676</t>
  </si>
  <si>
    <t>examples/regex/regexlib/RegexMembership/sat/membership_295</t>
  </si>
  <si>
    <t>examples/regex/regexlib/RegexMembership/sat/membership_1666</t>
  </si>
  <si>
    <t>examples/regex/regexlib/RegexMembership/sat/membership_1023</t>
  </si>
  <si>
    <t>examples/regex/regexlib/RegexMembership/sat/membership_1033</t>
  </si>
  <si>
    <t>examples/regex/regexlib/RegexMembership/sat/membership_69</t>
  </si>
  <si>
    <t>examples/regex/regexlib/RegexMembership/sat/membership_344</t>
  </si>
  <si>
    <t>examples/regex/regexlib/RegexMembership/sat/membership_354</t>
  </si>
  <si>
    <t>examples/regex/regexlib/RegexMembership/sat/membership_79</t>
  </si>
  <si>
    <t>examples/regex/regexlib/RegexMembership/sat/membership_469</t>
  </si>
  <si>
    <t>examples/regex/regexlib/RegexMembership/sat/membership_1903</t>
  </si>
  <si>
    <t>examples/regex/regexlib/RegexMembership/sat/membership_511</t>
  </si>
  <si>
    <t>examples/regex/regexlib/RegexMembership/sat/membership_479</t>
  </si>
  <si>
    <t>examples/regex/regexlib/RegexMembership/sat/membership_1913</t>
  </si>
  <si>
    <t>examples/regex/regexlib/RegexMembership/sat/membership_501</t>
  </si>
  <si>
    <t>examples/regex/regexlib/RegexMembership/sat/membership_1284</t>
  </si>
  <si>
    <t>examples/regex/regexlib/RegexMembership/sat/membership_677</t>
  </si>
  <si>
    <t>examples/regex/regexlib/RegexMembership/sat/membership_1294</t>
  </si>
  <si>
    <t>examples/regex/regexlib/RegexMembership/sat/membership_667</t>
  </si>
  <si>
    <t>examples/regex/regexlib/RegexMembership/sat/membership_138</t>
  </si>
  <si>
    <t>examples/regex/regexlib/RegexMembership/sat/membership_128</t>
  </si>
  <si>
    <t>examples/regex/regexlib/RegexMembership/sat/membership_615</t>
  </si>
  <si>
    <t>examples/regex/regexlib/RegexMembership/sat/membership_605</t>
  </si>
  <si>
    <t>examples/regex/regexlib/RegexMembership/sat/membership_1819</t>
  </si>
  <si>
    <t>examples/regex/regexlib/RegexMembership/sat/membership_1180</t>
  </si>
  <si>
    <t>examples/regex/regexlib/RegexMembership/sat/membership_573</t>
  </si>
  <si>
    <t>examples/regex/regexlib/RegexMembership/sat/membership_1190</t>
  </si>
  <si>
    <t>examples/regex/regexlib/RegexMembership/sat/membership_1809</t>
  </si>
  <si>
    <t>examples/regex/regexlib/RegexMembership/sat/membership_563</t>
  </si>
  <si>
    <t>examples/regex/regexlib/RegexMembership/sat/membership_326</t>
  </si>
  <si>
    <t>examples/regex/regexlib/RegexMembership/sat/membership_336</t>
  </si>
  <si>
    <t>examples/regex/regexlib/RegexMembership/sat/membership_1139</t>
  </si>
  <si>
    <t>examples/regex/regexlib/RegexMembership/sat/membership_1041</t>
  </si>
  <si>
    <t>examples/regex/regexlib/RegexMembership/sat/membership_1129</t>
  </si>
  <si>
    <t>examples/regex/regexlib/RegexMembership/sat/membership_1051</t>
  </si>
  <si>
    <t>examples/regex/regexlib/RegexMembership/sat/membership_1614</t>
  </si>
  <si>
    <t>examples/regex/regexlib/RegexMembership/sat/membership_1604</t>
  </si>
  <si>
    <t>examples/regex/regexlib/RegexMembership/sat/membership_181</t>
  </si>
  <si>
    <t>examples/regex/regexlib/RegexMembership/sat/membership_818</t>
  </si>
  <si>
    <t>examples/regex/regexlib/RegexMembership/sat/membership_1572</t>
  </si>
  <si>
    <t>examples/regex/regexlib/RegexMembership/sat/membership_960</t>
  </si>
  <si>
    <t>examples/regex/regexlib/RegexMembership/sat/membership_808</t>
  </si>
  <si>
    <t>examples/regex/regexlib/RegexMembership/sat/membership_191</t>
  </si>
  <si>
    <t>examples/regex/regexlib/RegexMembership/sat/membership_1562</t>
  </si>
  <si>
    <t>examples/regex/regexlib/RegexMembership/sat/membership_970</t>
  </si>
  <si>
    <t>examples/regex/regexlib/RegexMembership/sat/membership_1327</t>
  </si>
  <si>
    <t>examples/regex/regexlib/RegexMembership/sat/membership_1337</t>
  </si>
  <si>
    <t>examples/regex/regexlib/RegexMembership/sat/membership_730</t>
  </si>
  <si>
    <t>examples/regex/regexlib/RegexMembership/sat/membership_648</t>
  </si>
  <si>
    <t>examples/regex/regexlib/RegexMembership/sat/membership_720</t>
  </si>
  <si>
    <t>examples/regex/regexlib/RegexMembership/sat/membership_658</t>
  </si>
  <si>
    <t>examples/regex/regexlib/RegexMembership/sat/membership_165</t>
  </si>
  <si>
    <t>examples/regex/regexlib/RegexMembership/sat/membership_984</t>
  </si>
  <si>
    <t>examples/regex/regexlib/RegexMembership/sat/membership_1596</t>
  </si>
  <si>
    <t>examples/regex/regexlib/RegexMembership/sat/membership_175</t>
  </si>
  <si>
    <t>examples/regex/regexlib/RegexMembership/sat/membership_994</t>
  </si>
  <si>
    <t>examples/regex/regexlib/RegexMembership/sat/membership_1586</t>
  </si>
  <si>
    <t>examples/regex/regexlib/RegexMembership/sat/membership_1788</t>
  </si>
  <si>
    <t>examples/regex/regexlib/RegexMembership/sat/membership_203</t>
  </si>
  <si>
    <t>examples/regex/regexlib/RegexMembership/sat/membership_56</t>
  </si>
  <si>
    <t>examples/regex/regexlib/RegexMembership/sat/membership_213</t>
  </si>
  <si>
    <t>examples/regex/regexlib/RegexMembership/sat/membership_1798</t>
  </si>
  <si>
    <t>examples/regex/regexlib/RegexMembership/sat/membership_46</t>
  </si>
  <si>
    <t>examples/regex/regexlib/RegexMembership/sat/membership_1844</t>
  </si>
  <si>
    <t>examples/regex/regexlib/RegexMembership/sat/membership_456</t>
  </si>
  <si>
    <t>examples/regex/regexlib/RegexMembership/sat/membership_1854</t>
  </si>
  <si>
    <t>examples/regex/regexlib/RegexMembership/sat/membership_446</t>
  </si>
  <si>
    <t>examples/regex/regexlib/RegexMembership/sat/membership_1731</t>
  </si>
  <si>
    <t>examples/regex/regexlib/RegexMembership/sat/membership_1649</t>
  </si>
  <si>
    <t>examples/regex/regexlib/RegexMembership/sat/membership_1721</t>
  </si>
  <si>
    <t>examples/regex/regexlib/RegexMembership/sat/membership_1659</t>
  </si>
  <si>
    <t>examples/regex/regexlib/RegexMembership/sat/membership_1164</t>
  </si>
  <si>
    <t>examples/regex/regexlib/RegexMembership/sat/membership_597</t>
  </si>
  <si>
    <t>examples/regex/regexlib/RegexMembership/sat/membership_1174</t>
  </si>
  <si>
    <t>examples/regex/regexlib/RegexMembership/sat/membership_587</t>
  </si>
  <si>
    <t>examples/regex/regexlib/RegexMembership/sat/membership_1202</t>
  </si>
  <si>
    <t>examples/regex/regexlib/RegexMembership/sat/membership_789</t>
  </si>
  <si>
    <t>examples/regex/regexlib/RegexMembership/sat/membership_799</t>
  </si>
  <si>
    <t>examples/regex/regexlib/RegexMembership/sat/membership_1212</t>
  </si>
  <si>
    <t>examples/regex/regexlib/RegexMembership/sat/membership_1457</t>
  </si>
  <si>
    <t>examples/regex/regexlib/RegexMembership/sat/membership_845</t>
  </si>
  <si>
    <t>examples/regex/regexlib/RegexMembership/sat/membership_1447</t>
  </si>
  <si>
    <t>examples/regex/regexlib/RegexMembership/sat/membership_855</t>
  </si>
  <si>
    <t>examples/regex/regexlib/RegexMembership/sat/membership_1435</t>
  </si>
  <si>
    <t>examples/regex/regexlib/RegexMembership/sat/membership_827</t>
  </si>
  <si>
    <t>examples/regex/regexlib/RegexMembership/sat/membership_1425</t>
  </si>
  <si>
    <t>examples/regex/regexlib/RegexMembership/sat/membership_837</t>
  </si>
  <si>
    <t>examples/regex/regexlib/RegexMembership/sat/membership_1260</t>
  </si>
  <si>
    <t>examples/regex/regexlib/RegexMembership/sat/membership_693</t>
  </si>
  <si>
    <t>examples/regex/regexlib/RegexMembership/sat/membership_1318</t>
  </si>
  <si>
    <t>examples/regex/regexlib/RegexMembership/sat/membership_1270</t>
  </si>
  <si>
    <t>examples/regex/regexlib/RegexMembership/sat/membership_1308</t>
  </si>
  <si>
    <t>examples/regex/regexlib/RegexMembership/sat/membership_683</t>
  </si>
  <si>
    <t>examples/regex/regexlib/RegexMembership/sat/membership_1106</t>
  </si>
  <si>
    <t>examples/regex/regexlib/RegexMembership/sat/membership_1116</t>
  </si>
  <si>
    <t>examples/regex/regexlib/RegexMembership/sat/membership_1753</t>
  </si>
  <si>
    <t>examples/regex/regexlib/RegexMembership/sat/membership_1743</t>
  </si>
  <si>
    <t>examples/regex/regexlib/RegexMembership/sat/membership_1826</t>
  </si>
  <si>
    <t>examples/regex/regexlib/RegexMembership/sat/membership_434</t>
  </si>
  <si>
    <t>examples/regex/regexlib/RegexMembership/sat/membership_1836</t>
  </si>
  <si>
    <t>examples/regex/regexlib/RegexMembership/sat/membership_424</t>
  </si>
  <si>
    <t>examples/regex/regexlib/RegexMembership/sat/membership_261</t>
  </si>
  <si>
    <t>examples/regex/regexlib/RegexMembership/sat/membership_319</t>
  </si>
  <si>
    <t>examples/regex/regexlib/RegexMembership/sat/membership_1692</t>
  </si>
  <si>
    <t>examples/regex/regexlib/RegexMembership/sat/membership_34</t>
  </si>
  <si>
    <t>examples/regex/regexlib/RegexMembership/sat/membership_271</t>
  </si>
  <si>
    <t>examples/regex/regexlib/RegexMembership/sat/membership_1682</t>
  </si>
  <si>
    <t>examples/regex/regexlib/RegexMembership/sat/membership_24</t>
  </si>
  <si>
    <t>examples/regex/regexlib/RegexMembership/sat/membership_309</t>
  </si>
  <si>
    <t>examples/regex/regexlib/RegexMembership/sat/membership_107</t>
  </si>
  <si>
    <t>examples/regex/regexlib/RegexMembership/sat/membership_117</t>
  </si>
  <si>
    <t>examples/regex/regexlib/RegexMembership/sat/membership_752</t>
  </si>
  <si>
    <t>examples/regex/regexlib/RegexMembership/sat/membership_742</t>
  </si>
  <si>
    <t>examples/regex/regexlib/RegexMembership/sat/membership_121</t>
  </si>
  <si>
    <t>examples/regex/regexlib/RegexMembership/sat/membership_131</t>
  </si>
  <si>
    <t>examples/regex/regexlib/RegexMembership/sat/membership_774</t>
  </si>
  <si>
    <t>examples/regex/regexlib/RegexMembership/sat/membership_1387</t>
  </si>
  <si>
    <t>examples/regex/regexlib/RegexMembership/sat/membership_764</t>
  </si>
  <si>
    <t>examples/regex/regexlib/RegexMembership/sat/membership_1397</t>
  </si>
  <si>
    <t>examples/regex/regexlib/RegexMembership/sat/membership_1199</t>
  </si>
  <si>
    <t>examples/regex/regexlib/RegexMembership/sat/membership_1800</t>
  </si>
  <si>
    <t>examples/regex/regexlib/RegexMembership/sat/membership_412</t>
  </si>
  <si>
    <t>examples/regex/regexlib/RegexMembership/sat/membership_1810</t>
  </si>
  <si>
    <t>examples/regex/regexlib/RegexMembership/sat/membership_402</t>
  </si>
  <si>
    <t>examples/regex/regexlib/RegexMembership/sat/membership_1189</t>
  </si>
  <si>
    <t>examples/regex/regexlib/RegexMembership/sat/membership_247</t>
  </si>
  <si>
    <t>examples/regex/regexlib/RegexMembership/sat/membership_12</t>
  </si>
  <si>
    <t>examples/regex/regexlib/RegexMembership/sat/membership_257</t>
  </si>
  <si>
    <t>examples/regex/regexlib/RegexMembership/sat/membership_1120</t>
  </si>
  <si>
    <t>examples/regex/regexlib/RegexMembership/sat/membership_1058</t>
  </si>
  <si>
    <t>examples/regex/regexlib/RegexMembership/sat/membership_1130</t>
  </si>
  <si>
    <t>examples/regex/regexlib/RegexMembership/sat/membership_1048</t>
  </si>
  <si>
    <t>examples/regex/regexlib/RegexMembership/sat/membership_1775</t>
  </si>
  <si>
    <t>examples/regex/regexlib/RegexMembership/sat/membership_386</t>
  </si>
  <si>
    <t>examples/regex/regexlib/RegexMembership/sat/membership_1765</t>
  </si>
  <si>
    <t>examples/regex/regexlib/RegexMembership/sat/membership_396</t>
  </si>
  <si>
    <t>examples/regex/regexlib/RegexMembership/sat/membership_1413</t>
  </si>
  <si>
    <t>examples/regex/regexlib/RegexMembership/sat/membership_801</t>
  </si>
  <si>
    <t>examples/regex/regexlib/RegexMembership/sat/membership_198</t>
  </si>
  <si>
    <t>examples/regex/regexlib/RegexMembership/sat/membership_979</t>
  </si>
  <si>
    <t>examples/regex/regexlib/RegexMembership/sat/membership_188</t>
  </si>
  <si>
    <t>examples/regex/regexlib/RegexMembership/sat/membership_1403</t>
  </si>
  <si>
    <t>examples/regex/regexlib/RegexMembership/sat/membership_811</t>
  </si>
  <si>
    <t>examples/regex/regexlib/RegexMembership/sat/membership_969</t>
  </si>
  <si>
    <t>examples/regex/regexlib/RegexMembership/sat/membership_1246</t>
  </si>
  <si>
    <t>examples/regex/regexlib/RegexMembership/sat/membership_1256</t>
  </si>
  <si>
    <t>examples/regex/regexlib/RegexMembership/sat/membership_1224</t>
  </si>
  <si>
    <t>examples/regex/regexlib/RegexMembership/sat/membership_1234</t>
  </si>
  <si>
    <t>examples/regex/regexlib/RegexMembership/sat/membership_1471</t>
  </si>
  <si>
    <t>examples/regex/regexlib/RegexMembership/sat/membership_863</t>
  </si>
  <si>
    <t>examples/regex/regexlib/RegexMembership/sat/membership_1509</t>
  </si>
  <si>
    <t>examples/regex/regexlib/RegexMembership/sat/membership_1461</t>
  </si>
  <si>
    <t>examples/regex/regexlib/RegexMembership/sat/membership_873</t>
  </si>
  <si>
    <t>examples/regex/regexlib/RegexMembership/sat/membership_1519</t>
  </si>
  <si>
    <t>examples/regex/regexlib/RegexMembership/sat/membership_1717</t>
  </si>
  <si>
    <t>examples/regex/regexlib/RegexMembership/sat/membership_1707</t>
  </si>
  <si>
    <t>examples/regex/regexlib/RegexMembership/sat/membership_1142</t>
  </si>
  <si>
    <t>examples/regex/regexlib/RegexMembership/sat/membership_1152</t>
  </si>
  <si>
    <t>examples/regex/regexlib/RegexMembership/sat/membership_225</t>
  </si>
  <si>
    <t>examples/regex/regexlib/RegexMembership/sat/membership_70</t>
  </si>
  <si>
    <t>examples/regex/regexlib/RegexMembership/sat/membership_235</t>
  </si>
  <si>
    <t>examples/regex/regexlib/RegexMembership/sat/membership_60</t>
  </si>
  <si>
    <t>examples/regex/regexlib/RegexMembership/sat/membership_1862</t>
  </si>
  <si>
    <t>examples/regex/regexlib/RegexMembership/sat/membership_470</t>
  </si>
  <si>
    <t>examples/regex/regexlib/RegexMembership/sat/membership_508</t>
  </si>
  <si>
    <t>examples/regex/regexlib/RegexMembership/sat/membership_1083</t>
  </si>
  <si>
    <t>examples/regex/regexlib/RegexMembership/sat/membership_1872</t>
  </si>
  <si>
    <t>examples/regex/regexlib/RegexMembership/sat/membership_460</t>
  </si>
  <si>
    <t>examples/regex/regexlib/RegexMembership/sat/membership_1093</t>
  </si>
  <si>
    <t>examples/regex/regexlib/RegexMembership/sat/membership_518</t>
  </si>
  <si>
    <t>examples/regex/regexlib/RegexMembership/sat/membership_716</t>
  </si>
  <si>
    <t>examples/regex/regexlib/RegexMembership/sat/membership_706</t>
  </si>
  <si>
    <t>examples/regex/regexlib/RegexMembership/sat/membership_143</t>
  </si>
  <si>
    <t>examples/regex/regexlib/RegexMembership/sat/membership_153</t>
  </si>
  <si>
    <t>examples/regex/regexlib/RegexMembership/sat/membership_4</t>
  </si>
  <si>
    <t>examples/regex/regexlib/RegexMembership/sat/membership_1554</t>
  </si>
  <si>
    <t>examples/regex/regexlib/RegexMembership/sat/membership_946</t>
  </si>
  <si>
    <t>examples/regex/regexlib/RegexMembership/sat/membership_1544</t>
  </si>
  <si>
    <t>examples/regex/regexlib/RegexMembership/sat/membership_956</t>
  </si>
  <si>
    <t>examples/regex/regexlib/RegexMembership/sat/membership_1279</t>
  </si>
  <si>
    <t>examples/regex/regexlib/RegexMembership/sat/membership_1301</t>
  </si>
  <si>
    <t>examples/regex/regexlib/RegexMembership/sat/membership_1269</t>
  </si>
  <si>
    <t>examples/regex/regexlib/RegexMembership/sat/membership_1311</t>
  </si>
  <si>
    <t>examples/regex/regexlib/RegexMembership/sat/membership_494</t>
  </si>
  <si>
    <t>examples/regex/regexlib/RegexMembership/sat/membership_1886</t>
  </si>
  <si>
    <t>examples/regex/regexlib/RegexMembership/sat/membership_1067</t>
  </si>
  <si>
    <t>examples/regex/regexlib/RegexMembership/sat/membership_484</t>
  </si>
  <si>
    <t>examples/regex/regexlib/RegexMembership/sat/membership_1896</t>
  </si>
  <si>
    <t>examples/regex/regexlib/RegexMembership/sat/membership_1077</t>
  </si>
  <si>
    <t>examples/regex/regexlib/RegexMembership/sat/membership_94</t>
  </si>
  <si>
    <t>examples/regex/regexlib/RegexMembership/sat/membership_1632</t>
  </si>
  <si>
    <t>examples/regex/regexlib/RegexMembership/sat/membership_84</t>
  </si>
  <si>
    <t>examples/regex/regexlib/RegexMembership/sat/membership_1622</t>
  </si>
  <si>
    <t>examples/regex/regexlib/RegexMembership/sat/membership_555</t>
  </si>
  <si>
    <t>examples/regex/regexlib/RegexMembership/sat/membership_545</t>
  </si>
  <si>
    <t>examples/regex/regexlib/RegexMembership/sat/membership_278</t>
  </si>
  <si>
    <t>examples/regex/regexlib/RegexMembership/sat/membership_300</t>
  </si>
  <si>
    <t>examples/regex/regexlib/RegexMembership/sat/membership_268</t>
  </si>
  <si>
    <t>examples/regex/regexlib/RegexMembership/sat/membership_310</t>
  </si>
  <si>
    <t>examples/regex/regexlib/RegexMembership/sat/membership_887</t>
  </si>
  <si>
    <t>examples/regex/regexlib/RegexMembership/sat/membership_1495</t>
  </si>
  <si>
    <t>examples/regex/regexlib/RegexMembership/sat/membership_897</t>
  </si>
  <si>
    <t>examples/regex/regexlib/RegexMembership/sat/membership_1485</t>
  </si>
  <si>
    <t>examples/regex/regexlib/RegexMembership/sat/membership_633</t>
  </si>
  <si>
    <t>examples/regex/regexlib/RegexMembership/sat/membership_623</t>
  </si>
  <si>
    <t>examples/regex/regexlib/RegexMembership/sat/membership_729</t>
  </si>
  <si>
    <t>examples/regex/regexlib/RegexMembership/sat/membership_651</t>
  </si>
  <si>
    <t>examples/regex/regexlib/RegexMembership/sat/membership_739</t>
  </si>
  <si>
    <t>examples/regex/regexlib/RegexMembership/sat/membership_641</t>
  </si>
  <si>
    <t>examples/regex/regexlib/RegexMembership/sat/membership_1791</t>
  </si>
  <si>
    <t>examples/regex/regexlib/RegexMembership/sat/membership_362</t>
  </si>
  <si>
    <t>examples/regex/regexlib/RegexMembership/sat/membership_1781</t>
  </si>
  <si>
    <t>examples/regex/regexlib/RegexMembership/sat/membership_372</t>
  </si>
  <si>
    <t>examples/regex/regexlib/RegexMembership/sat/membership_537</t>
  </si>
  <si>
    <t>examples/regex/regexlib/RegexMembership/sat/membership_527</t>
  </si>
  <si>
    <t>examples/regex/regexlib/RegexMembership/sat/membership_1728</t>
  </si>
  <si>
    <t>examples/regex/regexlib/RegexMembership/sat/membership_1650</t>
  </si>
  <si>
    <t>examples/regex/regexlib/RegexMembership/sat/membership_1738</t>
  </si>
  <si>
    <t>examples/regex/regexlib/RegexMembership/sat/membership_1640</t>
  </si>
  <si>
    <t>examples/regex/regexlib/RegexMembership/sat/membership_1005</t>
  </si>
  <si>
    <t>examples/regex/regexlib/RegexMembership/sat/membership_1015</t>
  </si>
  <si>
    <t>examples/regex/regexlib/RegexMembership/sat/membership_790</t>
  </si>
  <si>
    <t>examples/regex/regexlib/RegexMembership/sat/membership_1363</t>
  </si>
  <si>
    <t>examples/regex/regexlib/RegexMembership/sat/membership_780</t>
  </si>
  <si>
    <t>examples/regex/regexlib/RegexMembership/sat/membership_1373</t>
  </si>
  <si>
    <t>examples/regex/regexlib/RegexMembership/sat/membership_1536</t>
  </si>
  <si>
    <t>examples/regex/regexlib/RegexMembership/sat/membership_924</t>
  </si>
  <si>
    <t>examples/regex/regexlib/RegexMembership/sat/membership_1526</t>
  </si>
  <si>
    <t>examples/regex/regexlib/RegexMembership/sat/membership_934</t>
  </si>
  <si>
    <t>examples/regex/regexlib/RegexMembership/sat/membership_481</t>
  </si>
  <si>
    <t>examples/regex/regexlib/RegexMembership/sat/membership_1893</t>
  </si>
  <si>
    <t>examples/regex/regexlib/RegexMembership/sat/membership_1072</t>
  </si>
  <si>
    <t>examples/regex/regexlib/RegexMembership/sat/membership_491</t>
  </si>
  <si>
    <t>examples/regex/regexlib/RegexMembership/sat/membership_1883</t>
  </si>
  <si>
    <t>examples/regex/regexlib/RegexMembership/sat/membership_81</t>
  </si>
  <si>
    <t>examples/regex/regexlib/RegexMembership/sat/membership_1627</t>
  </si>
  <si>
    <t>examples/regex/regexlib/RegexMembership/sat/membership_91</t>
  </si>
  <si>
    <t>examples/regex/regexlib/RegexMembership/sat/membership_1637</t>
  </si>
  <si>
    <t>examples/regex/regexlib/RegexMembership/sat/membership_1439</t>
  </si>
  <si>
    <t>examples/regex/regexlib/RegexMembership/sat/membership_1541</t>
  </si>
  <si>
    <t>examples/regex/regexlib/RegexMembership/sat/membership_953</t>
  </si>
  <si>
    <t>examples/regex/regexlib/RegexMembership/sat/membership_1</t>
  </si>
  <si>
    <t>examples/regex/regexlib/RegexMembership/sat/membership_1551</t>
  </si>
  <si>
    <t>examples/regex/regexlib/RegexMembership/sat/membership_943</t>
  </si>
  <si>
    <t>examples/regex/regexlib/RegexMembership/sat/membership_1314</t>
  </si>
  <si>
    <t>examples/regex/regexlib/RegexMembership/sat/membership_1304</t>
  </si>
  <si>
    <t>examples/regex/regexlib/RegexMembership/sat/membership_892</t>
  </si>
  <si>
    <t>examples/regex/regexlib/RegexMembership/sat/membership_1480</t>
  </si>
  <si>
    <t>examples/regex/regexlib/RegexMembership/sat/membership_1490</t>
  </si>
  <si>
    <t>examples/regex/regexlib/RegexMembership/sat/membership_626</t>
  </si>
  <si>
    <t>examples/regex/regexlib/RegexMembership/sat/membership_636</t>
  </si>
  <si>
    <t>examples/regex/regexlib/RegexMembership/sat/membership_438</t>
  </si>
  <si>
    <t>examples/regex/regexlib/RegexMembership/sat/membership_540</t>
  </si>
  <si>
    <t>examples/regex/regexlib/RegexMembership/sat/membership_428</t>
  </si>
  <si>
    <t>examples/regex/regexlib/RegexMembership/sat/membership_550</t>
  </si>
  <si>
    <t>examples/regex/regexlib/RegexMembership/sat/membership_38</t>
  </si>
  <si>
    <t>examples/regex/regexlib/RegexMembership/sat/membership_315</t>
  </si>
  <si>
    <t>examples/regex/regexlib/RegexMembership/sat/membership_305</t>
  </si>
  <si>
    <t>examples/regex/regexlib/RegexMembership/sat/membership_28</t>
  </si>
  <si>
    <t>examples/regex/regexlib/RegexMembership/sat/membership_1784</t>
  </si>
  <si>
    <t>examples/regex/regexlib/RegexMembership/sat/membership_377</t>
  </si>
  <si>
    <t>examples/regex/regexlib/RegexMembership/sat/membership_1794</t>
  </si>
  <si>
    <t>examples/regex/regexlib/RegexMembership/sat/membership_367</t>
  </si>
  <si>
    <t>examples/regex/regexlib/RegexMembership/sat/membership_1848</t>
  </si>
  <si>
    <t>examples/regex/regexlib/RegexMembership/sat/membership_522</t>
  </si>
  <si>
    <t>examples/regex/regexlib/RegexMembership/sat/membership_1858</t>
  </si>
  <si>
    <t>examples/regex/regexlib/RegexMembership/sat/membership_1920</t>
  </si>
  <si>
    <t>examples/regex/regexlib/RegexMembership/sat/membership_532</t>
  </si>
  <si>
    <t>examples/regex/regexlib/RegexMembership/sat/membership_644</t>
  </si>
  <si>
    <t>examples/regex/regexlib/RegexMembership/sat/membership_654</t>
  </si>
  <si>
    <t>examples/regex/regexlib/RegexMembership/sat/membership_169</t>
  </si>
  <si>
    <t>examples/regex/regexlib/RegexMembership/sat/membership_988</t>
  </si>
  <si>
    <t>examples/regex/regexlib/RegexMembership/sat/membership_179</t>
  </si>
  <si>
    <t>examples/regex/regexlib/RegexMembership/sat/membership_998</t>
  </si>
  <si>
    <t>examples/regex/regexlib/RegexMembership/sat/membership_785</t>
  </si>
  <si>
    <t>examples/regex/regexlib/RegexMembership/sat/membership_1376</t>
  </si>
  <si>
    <t>examples/regex/regexlib/RegexMembership/sat/membership_795</t>
  </si>
  <si>
    <t>examples/regex/regexlib/RegexMembership/sat/membership_1366</t>
  </si>
  <si>
    <t>examples/regex/regexlib/RegexMembership/sat/membership_849</t>
  </si>
  <si>
    <t>examples/regex/regexlib/RegexMembership/sat/membership_1523</t>
  </si>
  <si>
    <t>examples/regex/regexlib/RegexMembership/sat/membership_931</t>
  </si>
  <si>
    <t>examples/regex/regexlib/RegexMembership/sat/membership_859</t>
  </si>
  <si>
    <t>examples/regex/regexlib/RegexMembership/sat/membership_1533</t>
  </si>
  <si>
    <t>examples/regex/regexlib/RegexMembership/sat/membership_921</t>
  </si>
  <si>
    <t>examples/regex/regexlib/RegexMembership/sat/membership_1645</t>
  </si>
  <si>
    <t>examples/regex/regexlib/RegexMembership/sat/membership_1655</t>
  </si>
  <si>
    <t>examples/regex/regexlib/RegexMembership/sat/membership_1168</t>
  </si>
  <si>
    <t>examples/regex/regexlib/RegexMembership/sat/membership_1010</t>
  </si>
  <si>
    <t>examples/regex/regexlib/RegexMembership/sat/membership_1178</t>
  </si>
  <si>
    <t>examples/regex/regexlib/RegexMembership/sat/membership_1000</t>
  </si>
  <si>
    <t>examples/regex/regexlib/RegexMembership/sat/membership_1815</t>
  </si>
  <si>
    <t>examples/regex/regexlib/RegexMembership/sat/membership_407</t>
  </si>
  <si>
    <t>examples/regex/regexlib/RegexMembership/sat/membership_1805</t>
  </si>
  <si>
    <t>examples/regex/regexlib/RegexMembership/sat/membership_417</t>
  </si>
  <si>
    <t>examples/regex/regexlib/RegexMembership/sat/membership_252</t>
  </si>
  <si>
    <t>examples/regex/regexlib/RegexMembership/sat/membership_242</t>
  </si>
  <si>
    <t>examples/regex/regexlib/RegexMembership/sat/membership_17</t>
  </si>
  <si>
    <t>examples/regex/regexlib/RegexMembership/sat/membership_134</t>
  </si>
  <si>
    <t>examples/regex/regexlib/RegexMembership/sat/membership_124</t>
  </si>
  <si>
    <t>examples/regex/regexlib/RegexMembership/sat/membership_761</t>
  </si>
  <si>
    <t>examples/regex/regexlib/RegexMembership/sat/membership_619</t>
  </si>
  <si>
    <t>examples/regex/regexlib/RegexMembership/sat/membership_1392</t>
  </si>
  <si>
    <t>examples/regex/regexlib/RegexMembership/sat/membership_771</t>
  </si>
  <si>
    <t>examples/regex/regexlib/RegexMembership/sat/membership_1382</t>
  </si>
  <si>
    <t>examples/regex/regexlib/RegexMembership/sat/membership_609</t>
  </si>
  <si>
    <t>examples/regex/regexlib/RegexMembership/sat/membership_1406</t>
  </si>
  <si>
    <t>examples/regex/regexlib/RegexMembership/sat/membership_814</t>
  </si>
  <si>
    <t>examples/regex/regexlib/RegexMembership/sat/membership_1416</t>
  </si>
  <si>
    <t>examples/regex/regexlib/RegexMembership/sat/membership_804</t>
  </si>
  <si>
    <t>examples/regex/regexlib/RegexMembership/sat/membership_1253</t>
  </si>
  <si>
    <t>examples/regex/regexlib/RegexMembership/sat/membership_1243</t>
  </si>
  <si>
    <t>examples/regex/regexlib/RegexMembership/sat/membership_1135</t>
  </si>
  <si>
    <t>examples/regex/regexlib/RegexMembership/sat/membership_1125</t>
  </si>
  <si>
    <t>examples/regex/regexlib/RegexMembership/sat/membership_1760</t>
  </si>
  <si>
    <t>examples/regex/regexlib/RegexMembership/sat/membership_393</t>
  </si>
  <si>
    <t>examples/regex/regexlib/RegexMembership/sat/membership_1618</t>
  </si>
  <si>
    <t>examples/regex/regexlib/RegexMembership/sat/membership_1770</t>
  </si>
  <si>
    <t>examples/regex/regexlib/RegexMembership/sat/membership_1608</t>
  </si>
  <si>
    <t>examples/regex/regexlib/RegexMembership/sat/membership_383</t>
  </si>
  <si>
    <t>examples/regex/regexlib/RegexMembership/sat/membership_1702</t>
  </si>
  <si>
    <t>examples/regex/regexlib/RegexMembership/sat/membership_289</t>
  </si>
  <si>
    <t>examples/regex/regexlib/RegexMembership/sat/membership_299</t>
  </si>
  <si>
    <t>examples/regex/regexlib/RegexMembership/sat/membership_1712</t>
  </si>
  <si>
    <t>examples/regex/regexlib/RegexMembership/sat/membership_1157</t>
  </si>
  <si>
    <t>examples/regex/regexlib/RegexMembership/sat/membership_1147</t>
  </si>
  <si>
    <t>examples/regex/regexlib/RegexMembership/sat/membership_1231</t>
  </si>
  <si>
    <t>examples/regex/regexlib/RegexMembership/sat/membership_1349</t>
  </si>
  <si>
    <t>examples/regex/regexlib/RegexMembership/sat/membership_1221</t>
  </si>
  <si>
    <t>examples/regex/regexlib/RegexMembership/sat/membership_1359</t>
  </si>
  <si>
    <t>examples/regex/regexlib/RegexMembership/sat/membership_1464</t>
  </si>
  <si>
    <t>examples/regex/regexlib/RegexMembership/sat/membership_876</t>
  </si>
  <si>
    <t>examples/regex/regexlib/RegexMembership/sat/membership_1474</t>
  </si>
  <si>
    <t>examples/regex/regexlib/RegexMembership/sat/membership_866</t>
  </si>
  <si>
    <t>examples/regex/regexlib/RegexMembership/sat/membership_1288</t>
  </si>
  <si>
    <t>examples/regex/regexlib/RegexMembership/sat/membership_703</t>
  </si>
  <si>
    <t>examples/regex/regexlib/RegexMembership/sat/membership_713</t>
  </si>
  <si>
    <t>examples/regex/regexlib/RegexMembership/sat/membership_1298</t>
  </si>
  <si>
    <t>examples/regex/regexlib/RegexMembership/sat/membership_156</t>
  </si>
  <si>
    <t>examples/regex/regexlib/RegexMembership/sat/membership_146</t>
  </si>
  <si>
    <t>examples/regex/regexlib/RegexMembership/sat/membership_230</t>
  </si>
  <si>
    <t>examples/regex/regexlib/RegexMembership/sat/membership_348</t>
  </si>
  <si>
    <t>examples/regex/regexlib/RegexMembership/sat/membership_65</t>
  </si>
  <si>
    <t>examples/regex/regexlib/RegexMembership/sat/membership_220</t>
  </si>
  <si>
    <t>examples/regex/regexlib/RegexMembership/sat/membership_75</t>
  </si>
  <si>
    <t>examples/regex/regexlib/RegexMembership/sat/membership_358</t>
  </si>
  <si>
    <t>examples/regex/regexlib/RegexMembership/sat/membership_1877</t>
  </si>
  <si>
    <t>examples/regex/regexlib/RegexMembership/sat/membership_465</t>
  </si>
  <si>
    <t>examples/regex/regexlib/RegexMembership/sat/membership_1096</t>
  </si>
  <si>
    <t>examples/regex/regexlib/RegexMembership/sat/membership_1867</t>
  </si>
  <si>
    <t>examples/regex/regexlib/RegexMembership/sat/membership_475</t>
  </si>
  <si>
    <t>examples/regex/regexlib/RegexMembership/sat/membership_1086</t>
  </si>
  <si>
    <t>examples/regex/regexlib/RegexMembership/sat/membership_216</t>
  </si>
  <si>
    <t>examples/regex/regexlib/RegexMembership/sat/membership_43</t>
  </si>
  <si>
    <t>examples/regex/regexlib/RegexMembership/sat/membership_206</t>
  </si>
  <si>
    <t>examples/regex/regexlib/RegexMembership/sat/membership_53</t>
  </si>
  <si>
    <t>examples/regex/regexlib/RegexMembership/sat/membership_1851</t>
  </si>
  <si>
    <t>examples/regex/regexlib/RegexMembership/sat/membership_443</t>
  </si>
  <si>
    <t>examples/regex/regexlib/RegexMembership/sat/membership_1841</t>
  </si>
  <si>
    <t>examples/regex/regexlib/RegexMembership/sat/membership_453</t>
  </si>
  <si>
    <t>examples/regex/regexlib/RegexMembership/sat/membership_725</t>
  </si>
  <si>
    <t>examples/regex/regexlib/RegexMembership/sat/membership_735</t>
  </si>
  <si>
    <t>examples/regex/regexlib/RegexMembership/sat/membership_170</t>
  </si>
  <si>
    <t>examples/regex/regexlib/RegexMembership/sat/membership_991</t>
  </si>
  <si>
    <t>examples/regex/regexlib/RegexMembership/sat/membership_1583</t>
  </si>
  <si>
    <t>examples/regex/regexlib/RegexMembership/sat/membership_160</t>
  </si>
  <si>
    <t>examples/regex/regexlib/RegexMembership/sat/membership_981</t>
  </si>
  <si>
    <t>examples/regex/regexlib/RegexMembership/sat/membership_1593</t>
  </si>
  <si>
    <t>examples/regex/regexlib/RegexMembership/sat/membership_1217</t>
  </si>
  <si>
    <t>examples/regex/regexlib/RegexMembership/sat/membership_1207</t>
  </si>
  <si>
    <t>examples/regex/regexlib/RegexMembership/sat/membership_1442</t>
  </si>
  <si>
    <t>examples/regex/regexlib/RegexMembership/sat/membership_850</t>
  </si>
  <si>
    <t>examples/regex/regexlib/RegexMembership/sat/membership_928</t>
  </si>
  <si>
    <t>examples/regex/regexlib/RegexMembership/sat/membership_1452</t>
  </si>
  <si>
    <t>examples/regex/regexlib/RegexMembership/sat/membership_840</t>
  </si>
  <si>
    <t>examples/regex/regexlib/RegexMembership/sat/membership_938</t>
  </si>
  <si>
    <t>examples/regex/regexlib/RegexMembership/sat/membership_1724</t>
  </si>
  <si>
    <t>examples/regex/regexlib/RegexMembership/sat/membership_1734</t>
  </si>
  <si>
    <t>examples/regex/regexlib/RegexMembership/sat/membership_1171</t>
  </si>
  <si>
    <t>examples/regex/regexlib/RegexMembership/sat/membership_582</t>
  </si>
  <si>
    <t>examples/regex/regexlib/RegexMembership/sat/membership_1009</t>
  </si>
  <si>
    <t>examples/regex/regexlib/RegexMembership/sat/membership_1161</t>
  </si>
  <si>
    <t>examples/regex/regexlib/RegexMembership/sat/membership_1019</t>
  </si>
  <si>
    <t>examples/regex/regexlib/RegexMembership/sat/membership_592</t>
  </si>
  <si>
    <t>examples/regex/regexlib/RegexMembership/sat/membership_1113</t>
  </si>
  <si>
    <t>examples/regex/regexlib/RegexMembership/sat/membership_498</t>
  </si>
  <si>
    <t>examples/regex/regexlib/RegexMembership/sat/membership_488</t>
  </si>
  <si>
    <t>examples/regex/regexlib/RegexMembership/sat/membership_1103</t>
  </si>
  <si>
    <t>examples/regex/regexlib/RegexMembership/sat/membership_1746</t>
  </si>
  <si>
    <t>examples/regex/regexlib/RegexMembership/sat/membership_98</t>
  </si>
  <si>
    <t>examples/regex/regexlib/RegexMembership/sat/membership_1756</t>
  </si>
  <si>
    <t>examples/regex/regexlib/RegexMembership/sat/membership_88</t>
  </si>
  <si>
    <t>examples/regex/regexlib/RegexMembership/sat/membership_8</t>
  </si>
  <si>
    <t>examples/regex/regexlib/RegexMembership/sat/membership_1420</t>
  </si>
  <si>
    <t>examples/regex/regexlib/RegexMembership/sat/membership_832</t>
  </si>
  <si>
    <t>examples/regex/regexlib/RegexMembership/sat/membership_1558</t>
  </si>
  <si>
    <t>examples/regex/regexlib/RegexMembership/sat/membership_1430</t>
  </si>
  <si>
    <t>examples/regex/regexlib/RegexMembership/sat/membership_822</t>
  </si>
  <si>
    <t>examples/regex/regexlib/RegexMembership/sat/membership_1548</t>
  </si>
  <si>
    <t>examples/regex/regexlib/RegexMembership/sat/membership_1275</t>
  </si>
  <si>
    <t>examples/regex/regexlib/RegexMembership/sat/membership_686</t>
  </si>
  <si>
    <t>examples/regex/regexlib/RegexMembership/sat/membership_1265</t>
  </si>
  <si>
    <t>examples/regex/regexlib/RegexMembership/sat/membership_696</t>
  </si>
  <si>
    <t>examples/regex/regexlib/RegexMembership/sat/membership_1499</t>
  </si>
  <si>
    <t>examples/regex/regexlib/RegexMembership/sat/membership_112</t>
  </si>
  <si>
    <t>examples/regex/regexlib/RegexMembership/sat/membership_102</t>
  </si>
  <si>
    <t>examples/regex/regexlib/RegexMembership/sat/membership_1489</t>
  </si>
  <si>
    <t>examples/regex/regexlib/RegexMembership/sat/membership_747</t>
  </si>
  <si>
    <t>examples/regex/regexlib/RegexMembership/sat/membership_757</t>
  </si>
  <si>
    <t>examples/regex/regexlib/RegexMembership/sat/membership_1833</t>
  </si>
  <si>
    <t>examples/regex/regexlib/RegexMembership/sat/membership_421</t>
  </si>
  <si>
    <t>examples/regex/regexlib/RegexMembership/sat/membership_559</t>
  </si>
  <si>
    <t>examples/regex/regexlib/RegexMembership/sat/membership_1823</t>
  </si>
  <si>
    <t>examples/regex/regexlib/RegexMembership/sat/membership_431</t>
  </si>
  <si>
    <t>examples/regex/regexlib/RegexMembership/sat/membership_549</t>
  </si>
  <si>
    <t>examples/regex/regexlib/RegexMembership/sat/membership_274</t>
  </si>
  <si>
    <t>examples/regex/regexlib/RegexMembership/sat/membership_1687</t>
  </si>
  <si>
    <t>examples/regex/regexlib/RegexMembership/sat/membership_21</t>
  </si>
  <si>
    <t>examples/regex/regexlib/RegexMembership/sat/membership_264</t>
  </si>
  <si>
    <t>examples/regex/regexlib/RegexMembership/sat/membership_1697</t>
  </si>
  <si>
    <t>examples/regex/regexlib/RegexMembership/sat/membership_31</t>
  </si>
  <si>
    <t>examples/regex/regexlib/RegexMembership/sat/membership_290</t>
  </si>
  <si>
    <t>examples/regex/regexlib/RegexMembership/sat/membership_1663</t>
  </si>
  <si>
    <t>examples/regex/regexlib/RegexMembership/sat/membership_280</t>
  </si>
  <si>
    <t>examples/regex/regexlib/RegexMembership/sat/membership_1673</t>
  </si>
  <si>
    <t>examples/regex/regexlib/RegexMembership/sat/membership_1036</t>
  </si>
  <si>
    <t>examples/regex/regexlib/RegexMembership/sat/membership_1026</t>
  </si>
  <si>
    <t>examples/regex/regexlib/RegexMembership/sat/membership_1228</t>
  </si>
  <si>
    <t>examples/regex/regexlib/RegexMembership/sat/membership_1350</t>
  </si>
  <si>
    <t>examples/regex/regexlib/RegexMembership/sat/membership_1238</t>
  </si>
  <si>
    <t>examples/regex/regexlib/RegexMembership/sat/membership_1340</t>
  </si>
  <si>
    <t>examples/regex/regexlib/RegexMembership/sat/membership_1505</t>
  </si>
  <si>
    <t>examples/regex/regexlib/RegexMembership/sat/membership_917</t>
  </si>
  <si>
    <t>examples/regex/regexlib/RegexMembership/sat/membership_1515</t>
  </si>
  <si>
    <t>examples/regex/regexlib/RegexMembership/sat/membership_907</t>
  </si>
  <si>
    <t>examples/regex/regexlib/RegexMembership/sat/membership_1291</t>
  </si>
  <si>
    <t>examples/regex/regexlib/RegexMembership/sat/membership_662</t>
  </si>
  <si>
    <t>examples/regex/regexlib/RegexMembership/sat/membership_1281</t>
  </si>
  <si>
    <t>examples/regex/regexlib/RegexMembership/sat/membership_672</t>
  </si>
  <si>
    <t>examples/regex/regexlib/RegexMembership/sat/membership_229</t>
  </si>
  <si>
    <t>examples/regex/regexlib/RegexMembership/sat/membership_351</t>
  </si>
  <si>
    <t>examples/regex/regexlib/RegexMembership/sat/membership_239</t>
  </si>
  <si>
    <t>examples/regex/regexlib/RegexMembership/sat/membership_341</t>
  </si>
  <si>
    <t>examples/regex/regexlib/RegexMembership/sat/membership_1916</t>
  </si>
  <si>
    <t>examples/regex/regexlib/RegexMembership/sat/membership_504</t>
  </si>
  <si>
    <t>examples/regex/regexlib/RegexMembership/sat/membership_1906</t>
  </si>
  <si>
    <t>examples/regex/regexlib/RegexMembership/sat/membership_514</t>
  </si>
  <si>
    <t>examples/regex/regexlib/RegexMembership/sat/membership_1195</t>
  </si>
  <si>
    <t>examples/regex/regexlib/RegexMembership/sat/membership_566</t>
  </si>
  <si>
    <t>examples/regex/regexlib/RegexMembership/sat/membership_1185</t>
  </si>
  <si>
    <t>examples/regex/regexlib/RegexMembership/sat/membership_576</t>
  </si>
  <si>
    <t>examples/regex/regexlib/RegexMembership/sat/membership_333</t>
  </si>
  <si>
    <t>examples/regex/regexlib/RegexMembership/sat/membership_323</t>
  </si>
  <si>
    <t>examples/regex/regexlib/RegexMembership/sat/membership_778</t>
  </si>
  <si>
    <t>examples/regex/regexlib/RegexMembership/sat/membership_600</t>
  </si>
  <si>
    <t>examples/regex/regexlib/RegexMembership/sat/membership_768</t>
  </si>
  <si>
    <t>examples/regex/regexlib/RegexMembership/sat/membership_610</t>
  </si>
  <si>
    <t>examples/regex/regexlib/RegexMembership/sat/membership_194</t>
  </si>
  <si>
    <t>examples/regex/regexlib/RegexMembership/sat/membership_1567</t>
  </si>
  <si>
    <t>examples/regex/regexlib/RegexMembership/sat/membership_975</t>
  </si>
  <si>
    <t>examples/regex/regexlib/RegexMembership/sat/membership_184</t>
  </si>
  <si>
    <t>examples/regex/regexlib/RegexMembership/sat/membership_1577</t>
  </si>
  <si>
    <t>examples/regex/regexlib/RegexMembership/sat/membership_965</t>
  </si>
  <si>
    <t>examples/regex/regexlib/RegexMembership/sat/membership_1332</t>
  </si>
  <si>
    <t>examples/regex/regexlib/RegexMembership/sat/membership_1322</t>
  </si>
  <si>
    <t>examples/regex/regexlib/RegexMembership/sat/membership_1054</t>
  </si>
  <si>
    <t>examples/regex/regexlib/RegexMembership/sat/membership_1044</t>
  </si>
  <si>
    <t>examples/regex/regexlib/RegexMembership/sat/membership_1779</t>
  </si>
  <si>
    <t>examples/regex/regexlib/RegexMembership/sat/membership_1601</t>
  </si>
  <si>
    <t>examples/regex/regexlib/RegexMembership/sat/membership_1769</t>
  </si>
  <si>
    <t>examples/regex/regexlib/RegexMembership/sat/membership_1611</t>
  </si>
  <si>
    <t>examples/regex/regexlib/RegexMembership/sat/membership_939</t>
  </si>
  <si>
    <t>examples/regex/regexlib/RegexMembership/sat/membership_841</t>
  </si>
  <si>
    <t>examples/regex/regexlib/RegexMembership/sat/membership_1453</t>
  </si>
  <si>
    <t>examples/regex/regexlib/RegexMembership/sat/membership_929</t>
  </si>
  <si>
    <t>examples/regex/regexlib/RegexMembership/sat/membership_851</t>
  </si>
  <si>
    <t>examples/regex/regexlib/RegexMembership/sat/membership_1443</t>
  </si>
  <si>
    <t>examples/regex/regexlib/RegexMembership/sat/membership_1206</t>
  </si>
  <si>
    <t>examples/regex/regexlib/RegexMembership/sat/membership_1216</t>
  </si>
  <si>
    <t>examples/regex/regexlib/RegexMembership/sat/membership_1018</t>
  </si>
  <si>
    <t>examples/regex/regexlib/RegexMembership/sat/membership_593</t>
  </si>
  <si>
    <t>examples/regex/regexlib/RegexMembership/sat/membership_1160</t>
  </si>
  <si>
    <t>examples/regex/regexlib/RegexMembership/sat/membership_583</t>
  </si>
  <si>
    <t>examples/regex/regexlib/RegexMembership/sat/membership_1008</t>
  </si>
  <si>
    <t>examples/regex/regexlib/RegexMembership/sat/membership_1170</t>
  </si>
  <si>
    <t>examples/regex/regexlib/RegexMembership/sat/membership_1735</t>
  </si>
  <si>
    <t>examples/regex/regexlib/RegexMembership/sat/membership_1725</t>
  </si>
  <si>
    <t>examples/regex/regexlib/RegexMembership/sat/membership_452</t>
  </si>
  <si>
    <t>examples/regex/regexlib/RegexMembership/sat/membership_1840</t>
  </si>
  <si>
    <t>examples/regex/regexlib/RegexMembership/sat/membership_442</t>
  </si>
  <si>
    <t>examples/regex/regexlib/RegexMembership/sat/membership_1850</t>
  </si>
  <si>
    <t>examples/regex/regexlib/RegexMembership/sat/membership_52</t>
  </si>
  <si>
    <t>examples/regex/regexlib/RegexMembership/sat/membership_207</t>
  </si>
  <si>
    <t>examples/regex/regexlib/RegexMembership/sat/membership_42</t>
  </si>
  <si>
    <t>examples/regex/regexlib/RegexMembership/sat/membership_217</t>
  </si>
  <si>
    <t>examples/regex/regexlib/RegexMembership/sat/membership_1592</t>
  </si>
  <si>
    <t>examples/regex/regexlib/RegexMembership/sat/membership_980</t>
  </si>
  <si>
    <t>examples/regex/regexlib/RegexMembership/sat/membership_161</t>
  </si>
  <si>
    <t>examples/regex/regexlib/RegexMembership/sat/membership_1582</t>
  </si>
  <si>
    <t>examples/regex/regexlib/RegexMembership/sat/membership_990</t>
  </si>
  <si>
    <t>examples/regex/regexlib/RegexMembership/sat/membership_171</t>
  </si>
  <si>
    <t>examples/regex/regexlib/RegexMembership/sat/membership_734</t>
  </si>
  <si>
    <t>examples/regex/regexlib/RegexMembership/sat/membership_724</t>
  </si>
  <si>
    <t>examples/regex/regexlib/RegexMembership/sat/membership_756</t>
  </si>
  <si>
    <t>examples/regex/regexlib/RegexMembership/sat/membership_746</t>
  </si>
  <si>
    <t>examples/regex/regexlib/RegexMembership/sat/membership_103</t>
  </si>
  <si>
    <t>examples/regex/regexlib/RegexMembership/sat/membership_1488</t>
  </si>
  <si>
    <t>examples/regex/regexlib/RegexMembership/sat/membership_1498</t>
  </si>
  <si>
    <t>examples/regex/regexlib/RegexMembership/sat/membership_113</t>
  </si>
  <si>
    <t>examples/regex/regexlib/RegexMembership/sat/membership_30</t>
  </si>
  <si>
    <t>examples/regex/regexlib/RegexMembership/sat/membership_1696</t>
  </si>
  <si>
    <t>examples/regex/regexlib/RegexMembership/sat/membership_265</t>
  </si>
  <si>
    <t>examples/regex/regexlib/RegexMembership/sat/membership_20</t>
  </si>
  <si>
    <t>examples/regex/regexlib/RegexMembership/sat/membership_1686</t>
  </si>
  <si>
    <t>examples/regex/regexlib/RegexMembership/sat/membership_275</t>
  </si>
  <si>
    <t>examples/regex/regexlib/RegexMembership/sat/membership_548</t>
  </si>
  <si>
    <t>examples/regex/regexlib/RegexMembership/sat/membership_430</t>
  </si>
  <si>
    <t>examples/regex/regexlib/RegexMembership/sat/membership_1822</t>
  </si>
  <si>
    <t>examples/regex/regexlib/RegexMembership/sat/membership_558</t>
  </si>
  <si>
    <t>examples/regex/regexlib/RegexMembership/sat/membership_420</t>
  </si>
  <si>
    <t>examples/regex/regexlib/RegexMembership/sat/membership_1832</t>
  </si>
  <si>
    <t>examples/regex/regexlib/RegexMembership/sat/membership_89</t>
  </si>
  <si>
    <t>examples/regex/regexlib/RegexMembership/sat/membership_1757</t>
  </si>
  <si>
    <t>examples/regex/regexlib/RegexMembership/sat/membership_99</t>
  </si>
  <si>
    <t>examples/regex/regexlib/RegexMembership/sat/membership_1747</t>
  </si>
  <si>
    <t>examples/regex/regexlib/RegexMembership/sat/membership_489</t>
  </si>
  <si>
    <t>examples/regex/regexlib/RegexMembership/sat/membership_1102</t>
  </si>
  <si>
    <t>examples/regex/regexlib/RegexMembership/sat/membership_1112</t>
  </si>
  <si>
    <t>examples/regex/regexlib/RegexMembership/sat/membership_499</t>
  </si>
  <si>
    <t>examples/regex/regexlib/RegexMembership/sat/membership_697</t>
  </si>
  <si>
    <t>examples/regex/regexlib/RegexMembership/sat/membership_1264</t>
  </si>
  <si>
    <t>examples/regex/regexlib/RegexMembership/sat/membership_687</t>
  </si>
  <si>
    <t>examples/regex/regexlib/RegexMembership/sat/membership_1274</t>
  </si>
  <si>
    <t>examples/regex/regexlib/RegexMembership/sat/membership_1549</t>
  </si>
  <si>
    <t>examples/regex/regexlib/RegexMembership/sat/membership_823</t>
  </si>
  <si>
    <t>examples/regex/regexlib/RegexMembership/sat/membership_1559</t>
  </si>
  <si>
    <t>examples/regex/regexlib/RegexMembership/sat/membership_9</t>
  </si>
  <si>
    <t>examples/regex/regexlib/RegexMembership/sat/membership_833</t>
  </si>
  <si>
    <t>examples/regex/regexlib/RegexMembership/sat/membership_1421</t>
  </si>
  <si>
    <t>examples/regex/regexlib/RegexMembership/sat/membership_673</t>
  </si>
  <si>
    <t>examples/regex/regexlib/RegexMembership/sat/membership_1280</t>
  </si>
  <si>
    <t>examples/regex/regexlib/RegexMembership/sat/membership_663</t>
  </si>
  <si>
    <t>examples/regex/regexlib/RegexMembership/sat/membership_1290</t>
  </si>
  <si>
    <t>examples/regex/regexlib/RegexMembership/sat/membership_515</t>
  </si>
  <si>
    <t>examples/regex/regexlib/RegexMembership/sat/membership_1907</t>
  </si>
  <si>
    <t>examples/regex/regexlib/RegexMembership/sat/membership_505</t>
  </si>
  <si>
    <t>examples/regex/regexlib/RegexMembership/sat/membership_1917</t>
  </si>
  <si>
    <t>examples/regex/regexlib/RegexMembership/sat/membership_340</t>
  </si>
  <si>
    <t>examples/regex/regexlib/RegexMembership/sat/membership_350</t>
  </si>
  <si>
    <t>examples/regex/regexlib/RegexMembership/sat/membership_228</t>
  </si>
  <si>
    <t>examples/regex/regexlib/RegexMembership/sat/membership_1027</t>
  </si>
  <si>
    <t>examples/regex/regexlib/RegexMembership/sat/membership_1037</t>
  </si>
  <si>
    <t>examples/regex/regexlib/RegexMembership/sat/membership_1672</t>
  </si>
  <si>
    <t>examples/regex/regexlib/RegexMembership/sat/membership_281</t>
  </si>
  <si>
    <t>examples/regex/regexlib/RegexMembership/sat/membership_1662</t>
  </si>
  <si>
    <t>examples/regex/regexlib/RegexMembership/sat/membership_291</t>
  </si>
  <si>
    <t>examples/regex/regexlib/RegexMembership/sat/membership_906</t>
  </si>
  <si>
    <t>examples/regex/regexlib/RegexMembership/sat/membership_1514</t>
  </si>
  <si>
    <t>examples/regex/regexlib/RegexMembership/sat/membership_916</t>
  </si>
  <si>
    <t>examples/regex/regexlib/RegexMembership/sat/membership_1504</t>
  </si>
  <si>
    <t>examples/regex/regexlib/RegexMembership/sat/membership_1341</t>
  </si>
  <si>
    <t>examples/regex/regexlib/RegexMembership/sat/membership_1239</t>
  </si>
  <si>
    <t>examples/regex/regexlib/RegexMembership/sat/membership_1351</t>
  </si>
  <si>
    <t>examples/regex/regexlib/RegexMembership/sat/membership_1229</t>
  </si>
  <si>
    <t>examples/regex/regexlib/RegexMembership/sat/membership_1323</t>
  </si>
  <si>
    <t>examples/regex/regexlib/RegexMembership/sat/membership_1333</t>
  </si>
  <si>
    <t>examples/regex/regexlib/RegexMembership/sat/membership_964</t>
  </si>
  <si>
    <t>examples/regex/regexlib/RegexMembership/sat/membership_1576</t>
  </si>
  <si>
    <t>examples/regex/regexlib/RegexMembership/sat/membership_185</t>
  </si>
  <si>
    <t>examples/regex/regexlib/RegexMembership/sat/membership_974</t>
  </si>
  <si>
    <t>examples/regex/regexlib/RegexMembership/sat/membership_1566</t>
  </si>
  <si>
    <t>examples/regex/regexlib/RegexMembership/sat/membership_195</t>
  </si>
  <si>
    <t>examples/regex/regexlib/RegexMembership/sat/membership_1610</t>
  </si>
  <si>
    <t>examples/regex/regexlib/RegexMembership/sat/membership_1768</t>
  </si>
  <si>
    <t>examples/regex/regexlib/RegexMembership/sat/membership_1600</t>
  </si>
  <si>
    <t>examples/regex/regexlib/RegexMembership/sat/membership_1778</t>
  </si>
  <si>
    <t>examples/regex/regexlib/RegexMembership/sat/membership_1045</t>
  </si>
  <si>
    <t>examples/regex/regexlib/RegexMembership/sat/membership_1055</t>
  </si>
  <si>
    <t>examples/regex/regexlib/RegexMembership/sat/membership_322</t>
  </si>
  <si>
    <t>examples/regex/regexlib/RegexMembership/sat/membership_332</t>
  </si>
  <si>
    <t>examples/regex/regexlib/RegexMembership/sat/membership_577</t>
  </si>
  <si>
    <t>examples/regex/regexlib/RegexMembership/sat/membership_1184</t>
  </si>
  <si>
    <t>examples/regex/regexlib/RegexMembership/sat/membership_567</t>
  </si>
  <si>
    <t>examples/regex/regexlib/RegexMembership/sat/membership_1194</t>
  </si>
  <si>
    <t>examples/regex/regexlib/RegexMembership/sat/membership_611</t>
  </si>
  <si>
    <t>examples/regex/regexlib/RegexMembership/sat/membership_769</t>
  </si>
  <si>
    <t>examples/regex/regexlib/RegexMembership/sat/membership_601</t>
  </si>
  <si>
    <t>examples/regex/regexlib/RegexMembership/sat/membership_779</t>
  </si>
  <si>
    <t>examples/regex/regexlib/RegexMembership/sat/membership_637</t>
  </si>
  <si>
    <t>examples/regex/regexlib/RegexMembership/sat/membership_627</t>
  </si>
  <si>
    <t>examples/regex/regexlib/RegexMembership/sat/membership_1491</t>
  </si>
  <si>
    <t>examples/regex/regexlib/RegexMembership/sat/membership_883</t>
  </si>
  <si>
    <t>examples/regex/regexlib/RegexMembership/sat/membership_1481</t>
  </si>
  <si>
    <t>examples/regex/regexlib/RegexMembership/sat/membership_893</t>
  </si>
  <si>
    <t>examples/regex/regexlib/RegexMembership/sat/membership_304</t>
  </si>
  <si>
    <t>examples/regex/regexlib/RegexMembership/sat/membership_29</t>
  </si>
  <si>
    <t>examples/regex/regexlib/RegexMembership/sat/membership_39</t>
  </si>
  <si>
    <t>examples/regex/regexlib/RegexMembership/sat/membership_314</t>
  </si>
  <si>
    <t>examples/regex/regexlib/RegexMembership/sat/membership_551</t>
  </si>
  <si>
    <t>examples/regex/regexlib/RegexMembership/sat/membership_429</t>
  </si>
  <si>
    <t>examples/regex/regexlib/RegexMembership/sat/membership_541</t>
  </si>
  <si>
    <t>examples/regex/regexlib/RegexMembership/sat/membership_439</t>
  </si>
  <si>
    <t>examples/regex/regexlib/RegexMembership/sat/membership_1636</t>
  </si>
  <si>
    <t>examples/regex/regexlib/RegexMembership/sat/membership_90</t>
  </si>
  <si>
    <t>examples/regex/regexlib/RegexMembership/sat/membership_1626</t>
  </si>
  <si>
    <t>examples/regex/regexlib/RegexMembership/sat/membership_80</t>
  </si>
  <si>
    <t>examples/regex/regexlib/RegexMembership/sat/membership_1063</t>
  </si>
  <si>
    <t>examples/regex/regexlib/RegexMembership/sat/membership_1882</t>
  </si>
  <si>
    <t>examples/regex/regexlib/RegexMembership/sat/membership_490</t>
  </si>
  <si>
    <t>examples/regex/regexlib/RegexMembership/sat/membership_1073</t>
  </si>
  <si>
    <t>examples/regex/regexlib/RegexMembership/sat/membership_1892</t>
  </si>
  <si>
    <t>examples/regex/regexlib/RegexMembership/sat/membership_480</t>
  </si>
  <si>
    <t>examples/regex/regexlib/RegexMembership/sat/membership_1305</t>
  </si>
  <si>
    <t>examples/regex/regexlib/RegexMembership/sat/membership_1315</t>
  </si>
  <si>
    <t>examples/regex/regexlib/RegexMembership/sat/membership_942</t>
  </si>
  <si>
    <t>examples/regex/regexlib/RegexMembership/sat/membership_1550</t>
  </si>
  <si>
    <t>examples/regex/regexlib/RegexMembership/sat/membership_0</t>
  </si>
  <si>
    <t>examples/regex/regexlib/RegexMembership/sat/membership_1428</t>
  </si>
  <si>
    <t>examples/regex/regexlib/RegexMembership/sat/membership_952</t>
  </si>
  <si>
    <t>examples/regex/regexlib/RegexMembership/sat/membership_1540</t>
  </si>
  <si>
    <t>examples/regex/regexlib/RegexMembership/sat/membership_1438</t>
  </si>
  <si>
    <t>examples/regex/regexlib/RegexMembership/sat/membership_920</t>
  </si>
  <si>
    <t>examples/regex/regexlib/RegexMembership/sat/membership_1532</t>
  </si>
  <si>
    <t>examples/regex/regexlib/RegexMembership/sat/membership_858</t>
  </si>
  <si>
    <t>examples/regex/regexlib/RegexMembership/sat/membership_930</t>
  </si>
  <si>
    <t>examples/regex/regexlib/RegexMembership/sat/membership_1522</t>
  </si>
  <si>
    <t>examples/regex/regexlib/RegexMembership/sat/membership_848</t>
  </si>
  <si>
    <t>examples/regex/regexlib/RegexMembership/sat/membership_1367</t>
  </si>
  <si>
    <t>examples/regex/regexlib/RegexMembership/sat/membership_794</t>
  </si>
  <si>
    <t>examples/regex/regexlib/RegexMembership/sat/membership_1377</t>
  </si>
  <si>
    <t>examples/regex/regexlib/RegexMembership/sat/membership_784</t>
  </si>
  <si>
    <t>examples/regex/regexlib/RegexMembership/sat/membership_1001</t>
  </si>
  <si>
    <t>examples/regex/regexlib/RegexMembership/sat/membership_1179</t>
  </si>
  <si>
    <t>examples/regex/regexlib/RegexMembership/sat/membership_1011</t>
  </si>
  <si>
    <t>examples/regex/regexlib/RegexMembership/sat/membership_1169</t>
  </si>
  <si>
    <t>examples/regex/regexlib/RegexMembership/sat/membership_1654</t>
  </si>
  <si>
    <t>examples/regex/regexlib/RegexMembership/sat/membership_1644</t>
  </si>
  <si>
    <t>examples/regex/regexlib/RegexMembership/sat/membership_533</t>
  </si>
  <si>
    <t>examples/regex/regexlib/RegexMembership/sat/membership_1859</t>
  </si>
  <si>
    <t>examples/regex/regexlib/RegexMembership/sat/membership_523</t>
  </si>
  <si>
    <t>examples/regex/regexlib/RegexMembership/sat/membership_1849</t>
  </si>
  <si>
    <t>examples/regex/regexlib/RegexMembership/sat/membership_366</t>
  </si>
  <si>
    <t>examples/regex/regexlib/RegexMembership/sat/membership_1795</t>
  </si>
  <si>
    <t>examples/regex/regexlib/RegexMembership/sat/membership_376</t>
  </si>
  <si>
    <t>examples/regex/regexlib/RegexMembership/sat/membership_1785</t>
  </si>
  <si>
    <t>examples/regex/regexlib/RegexMembership/sat/membership_999</t>
  </si>
  <si>
    <t>examples/regex/regexlib/RegexMembership/sat/membership_178</t>
  </si>
  <si>
    <t>examples/regex/regexlib/RegexMembership/sat/membership_989</t>
  </si>
  <si>
    <t>examples/regex/regexlib/RegexMembership/sat/membership_168</t>
  </si>
  <si>
    <t>examples/regex/regexlib/RegexMembership/sat/membership_655</t>
  </si>
  <si>
    <t>examples/regex/regexlib/RegexMembership/sat/membership_645</t>
  </si>
  <si>
    <t>examples/regex/regexlib/RegexMembership/sat/membership_1242</t>
  </si>
  <si>
    <t>examples/regex/regexlib/RegexMembership/sat/membership_1252</t>
  </si>
  <si>
    <t>examples/regex/regexlib/RegexMembership/sat/membership_805</t>
  </si>
  <si>
    <t>examples/regex/regexlib/RegexMembership/sat/membership_1417</t>
  </si>
  <si>
    <t>examples/regex/regexlib/RegexMembership/sat/membership_815</t>
  </si>
  <si>
    <t>examples/regex/regexlib/RegexMembership/sat/membership_1407</t>
  </si>
  <si>
    <t>examples/regex/regexlib/RegexMembership/sat/membership_1609</t>
  </si>
  <si>
    <t>examples/regex/regexlib/RegexMembership/sat/membership_382</t>
  </si>
  <si>
    <t>examples/regex/regexlib/RegexMembership/sat/membership_1771</t>
  </si>
  <si>
    <t>examples/regex/regexlib/RegexMembership/sat/membership_1619</t>
  </si>
  <si>
    <t>examples/regex/regexlib/RegexMembership/sat/membership_1761</t>
  </si>
  <si>
    <t>examples/regex/regexlib/RegexMembership/sat/membership_1124</t>
  </si>
  <si>
    <t>examples/regex/regexlib/RegexMembership/sat/membership_1134</t>
  </si>
  <si>
    <t>examples/regex/regexlib/RegexMembership/sat/membership_16</t>
  </si>
  <si>
    <t>examples/regex/regexlib/RegexMembership/sat/membership_243</t>
  </si>
  <si>
    <t>examples/regex/regexlib/RegexMembership/sat/membership_253</t>
  </si>
  <si>
    <t>examples/regex/regexlib/RegexMembership/sat/membership_416</t>
  </si>
  <si>
    <t>examples/regex/regexlib/RegexMembership/sat/membership_1804</t>
  </si>
  <si>
    <t>examples/regex/regexlib/RegexMembership/sat/membership_406</t>
  </si>
  <si>
    <t>examples/regex/regexlib/RegexMembership/sat/membership_1814</t>
  </si>
  <si>
    <t>examples/regex/regexlib/RegexMembership/sat/membership_1383</t>
  </si>
  <si>
    <t>examples/regex/regexlib/RegexMembership/sat/membership_608</t>
  </si>
  <si>
    <t>examples/regex/regexlib/RegexMembership/sat/membership_770</t>
  </si>
  <si>
    <t>examples/regex/regexlib/RegexMembership/sat/membership_618</t>
  </si>
  <si>
    <t>examples/regex/regexlib/RegexMembership/sat/membership_1393</t>
  </si>
  <si>
    <t>examples/regex/regexlib/RegexMembership/sat/membership_760</t>
  </si>
  <si>
    <t>examples/regex/regexlib/RegexMembership/sat/membership_125</t>
  </si>
  <si>
    <t>examples/regex/regexlib/RegexMembership/sat/membership_135</t>
  </si>
  <si>
    <t>examples/regex/regexlib/RegexMembership/sat/membership_147</t>
  </si>
  <si>
    <t>examples/regex/regexlib/RegexMembership/sat/membership_157</t>
  </si>
  <si>
    <t>examples/regex/regexlib/RegexMembership/sat/membership_712</t>
  </si>
  <si>
    <t>examples/regex/regexlib/RegexMembership/sat/membership_1299</t>
  </si>
  <si>
    <t>examples/regex/regexlib/RegexMembership/sat/membership_1289</t>
  </si>
  <si>
    <t>examples/regex/regexlib/RegexMembership/sat/membership_702</t>
  </si>
  <si>
    <t>examples/regex/regexlib/RegexMembership/sat/membership_1087</t>
  </si>
  <si>
    <t>examples/regex/regexlib/RegexMembership/sat/membership_474</t>
  </si>
  <si>
    <t>examples/regex/regexlib/RegexMembership/sat/membership_1866</t>
  </si>
  <si>
    <t>examples/regex/regexlib/RegexMembership/sat/membership_1097</t>
  </si>
  <si>
    <t>examples/regex/regexlib/RegexMembership/sat/membership_464</t>
  </si>
  <si>
    <t>examples/regex/regexlib/RegexMembership/sat/membership_1876</t>
  </si>
  <si>
    <t>examples/regex/regexlib/RegexMembership/sat/membership_74</t>
  </si>
  <si>
    <t>examples/regex/regexlib/RegexMembership/sat/membership_359</t>
  </si>
  <si>
    <t>examples/regex/regexlib/RegexMembership/sat/membership_221</t>
  </si>
  <si>
    <t>examples/regex/regexlib/RegexMembership/sat/membership_349</t>
  </si>
  <si>
    <t>examples/regex/regexlib/RegexMembership/sat/membership_64</t>
  </si>
  <si>
    <t>examples/regex/regexlib/RegexMembership/sat/membership_231</t>
  </si>
  <si>
    <t>examples/regex/regexlib/RegexMembership/sat/membership_1146</t>
  </si>
  <si>
    <t>examples/regex/regexlib/RegexMembership/sat/membership_1156</t>
  </si>
  <si>
    <t>examples/regex/regexlib/RegexMembership/sat/membership_298</t>
  </si>
  <si>
    <t>examples/regex/regexlib/RegexMembership/sat/membership_1713</t>
  </si>
  <si>
    <t>examples/regex/regexlib/RegexMembership/sat/membership_1703</t>
  </si>
  <si>
    <t>examples/regex/regexlib/RegexMembership/sat/membership_288</t>
  </si>
  <si>
    <t>examples/regex/regexlib/RegexMembership/sat/membership_867</t>
  </si>
  <si>
    <t>examples/regex/regexlib/RegexMembership/sat/membership_1475</t>
  </si>
  <si>
    <t>examples/regex/regexlib/RegexMembership/sat/membership_877</t>
  </si>
  <si>
    <t>examples/regex/regexlib/RegexMembership/sat/membership_1465</t>
  </si>
  <si>
    <t>examples/regex/regexlib/RegexMembership/sat/membership_1358</t>
  </si>
  <si>
    <t>examples/regex/regexlib/RegexMembership/sat/membership_1220</t>
  </si>
  <si>
    <t>examples/regex/regexlib/RegexMembership/sat/membership_1348</t>
  </si>
  <si>
    <t>examples/regex/regexlib/RegexMembership/sat/membership_1230</t>
  </si>
  <si>
    <t>examples/regex/regexlib/RegexMembership/sat/membership_1830</t>
  </si>
  <si>
    <t>examples/regex/regexlib/RegexMembership/sat/membership_422</t>
  </si>
  <si>
    <t>examples/regex/regexlib/RegexMembership/sat/membership_1820</t>
  </si>
  <si>
    <t>examples/regex/regexlib/RegexMembership/sat/membership_432</t>
  </si>
  <si>
    <t>examples/regex/regexlib/RegexMembership/sat/membership_1684</t>
  </si>
  <si>
    <t>examples/regex/regexlib/RegexMembership/sat/membership_22</t>
  </si>
  <si>
    <t>examples/regex/regexlib/RegexMembership/sat/membership_277</t>
  </si>
  <si>
    <t>examples/regex/regexlib/RegexMembership/sat/membership_1694</t>
  </si>
  <si>
    <t>examples/regex/regexlib/RegexMembership/sat/membership_32</t>
  </si>
  <si>
    <t>examples/regex/regexlib/RegexMembership/sat/membership_267</t>
  </si>
  <si>
    <t>examples/regex/regexlib/RegexMembership/sat/membership_111</t>
  </si>
  <si>
    <t>examples/regex/regexlib/RegexMembership/sat/membership_888</t>
  </si>
  <si>
    <t>examples/regex/regexlib/RegexMembership/sat/membership_898</t>
  </si>
  <si>
    <t>examples/regex/regexlib/RegexMembership/sat/membership_101</t>
  </si>
  <si>
    <t>examples/regex/regexlib/RegexMembership/sat/membership_744</t>
  </si>
  <si>
    <t>examples/regex/regexlib/RegexMembership/sat/membership_754</t>
  </si>
  <si>
    <t>examples/regex/regexlib/RegexMembership/sat/membership_949</t>
  </si>
  <si>
    <t>examples/regex/regexlib/RegexMembership/sat/membership_1423</t>
  </si>
  <si>
    <t>examples/regex/regexlib/RegexMembership/sat/membership_831</t>
  </si>
  <si>
    <t>examples/regex/regexlib/RegexMembership/sat/membership_959</t>
  </si>
  <si>
    <t>examples/regex/regexlib/RegexMembership/sat/membership_1433</t>
  </si>
  <si>
    <t>examples/regex/regexlib/RegexMembership/sat/membership_821</t>
  </si>
  <si>
    <t>examples/regex/regexlib/RegexMembership/sat/membership_685</t>
  </si>
  <si>
    <t>examples/regex/regexlib/RegexMembership/sat/membership_1276</t>
  </si>
  <si>
    <t>examples/regex/regexlib/RegexMembership/sat/membership_695</t>
  </si>
  <si>
    <t>examples/regex/regexlib/RegexMembership/sat/membership_1266</t>
  </si>
  <si>
    <t>examples/regex/regexlib/RegexMembership/sat/membership_1068</t>
  </si>
  <si>
    <t>examples/regex/regexlib/RegexMembership/sat/membership_1889</t>
  </si>
  <si>
    <t>examples/regex/regexlib/RegexMembership/sat/membership_1110</t>
  </si>
  <si>
    <t>examples/regex/regexlib/RegexMembership/sat/membership_1078</t>
  </si>
  <si>
    <t>examples/regex/regexlib/RegexMembership/sat/membership_1100</t>
  </si>
  <si>
    <t>examples/regex/regexlib/RegexMembership/sat/membership_1899</t>
  </si>
  <si>
    <t>examples/regex/regexlib/RegexMembership/sat/membership_1745</t>
  </si>
  <si>
    <t>examples/regex/regexlib/RegexMembership/sat/membership_1755</t>
  </si>
  <si>
    <t>examples/regex/regexlib/RegexMembership/sat/membership_1727</t>
  </si>
  <si>
    <t>examples/regex/regexlib/RegexMembership/sat/membership_1737</t>
  </si>
  <si>
    <t>examples/regex/regexlib/RegexMembership/sat/membership_581</t>
  </si>
  <si>
    <t>examples/regex/regexlib/RegexMembership/sat/membership_1172</t>
  </si>
  <si>
    <t>examples/regex/regexlib/RegexMembership/sat/membership_591</t>
  </si>
  <si>
    <t>examples/regex/regexlib/RegexMembership/sat/membership_1162</t>
  </si>
  <si>
    <t>examples/regex/regexlib/RegexMembership/sat/membership_1214</t>
  </si>
  <si>
    <t>examples/regex/regexlib/RegexMembership/sat/membership_1204</t>
  </si>
  <si>
    <t>examples/regex/regexlib/RegexMembership/sat/membership_1539</t>
  </si>
  <si>
    <t>examples/regex/regexlib/RegexMembership/sat/membership_1441</t>
  </si>
  <si>
    <t>examples/regex/regexlib/RegexMembership/sat/membership_853</t>
  </si>
  <si>
    <t>examples/regex/regexlib/RegexMembership/sat/membership_1529</t>
  </si>
  <si>
    <t>examples/regex/regexlib/RegexMembership/sat/membership_1451</t>
  </si>
  <si>
    <t>examples/regex/regexlib/RegexMembership/sat/membership_843</t>
  </si>
  <si>
    <t>examples/regex/regexlib/RegexMembership/sat/membership_726</t>
  </si>
  <si>
    <t>examples/regex/regexlib/RegexMembership/sat/membership_736</t>
  </si>
  <si>
    <t>examples/regex/regexlib/RegexMembership/sat/membership_992</t>
  </si>
  <si>
    <t>examples/regex/regexlib/RegexMembership/sat/membership_1580</t>
  </si>
  <si>
    <t>examples/regex/regexlib/RegexMembership/sat/membership_173</t>
  </si>
  <si>
    <t>examples/regex/regexlib/RegexMembership/sat/membership_982</t>
  </si>
  <si>
    <t>examples/regex/regexlib/RegexMembership/sat/membership_1590</t>
  </si>
  <si>
    <t>examples/regex/regexlib/RegexMembership/sat/membership_163</t>
  </si>
  <si>
    <t>examples/regex/regexlib/RegexMembership/sat/membership_40</t>
  </si>
  <si>
    <t>examples/regex/regexlib/RegexMembership/sat/membership_215</t>
  </si>
  <si>
    <t>examples/regex/regexlib/RegexMembership/sat/membership_50</t>
  </si>
  <si>
    <t>examples/regex/regexlib/RegexMembership/sat/membership_205</t>
  </si>
  <si>
    <t>examples/regex/regexlib/RegexMembership/sat/membership_538</t>
  </si>
  <si>
    <t>examples/regex/regexlib/RegexMembership/sat/membership_1852</t>
  </si>
  <si>
    <t>examples/regex/regexlib/RegexMembership/sat/membership_440</t>
  </si>
  <si>
    <t>examples/regex/regexlib/RegexMembership/sat/membership_528</t>
  </si>
  <si>
    <t>examples/regex/regexlib/RegexMembership/sat/membership_1842</t>
  </si>
  <si>
    <t>examples/regex/regexlib/RegexMembership/sat/membership_450</t>
  </si>
  <si>
    <t>examples/regex/regexlib/RegexMembership/sat/membership_1057</t>
  </si>
  <si>
    <t>examples/regex/regexlib/RegexMembership/sat/membership_1047</t>
  </si>
  <si>
    <t>examples/regex/regexlib/RegexMembership/sat/membership_389</t>
  </si>
  <si>
    <t>examples/regex/regexlib/RegexMembership/sat/membership_1602</t>
  </si>
  <si>
    <t>examples/regex/regexlib/RegexMembership/sat/membership_1612</t>
  </si>
  <si>
    <t>examples/regex/regexlib/RegexMembership/sat/membership_399</t>
  </si>
  <si>
    <t>examples/regex/regexlib/RegexMembership/sat/membership_1564</t>
  </si>
  <si>
    <t>examples/regex/regexlib/RegexMembership/sat/membership_976</t>
  </si>
  <si>
    <t>examples/regex/regexlib/RegexMembership/sat/membership_197</t>
  </si>
  <si>
    <t>examples/regex/regexlib/RegexMembership/sat/membership_1574</t>
  </si>
  <si>
    <t>examples/regex/regexlib/RegexMembership/sat/membership_966</t>
  </si>
  <si>
    <t>examples/regex/regexlib/RegexMembership/sat/membership_187</t>
  </si>
  <si>
    <t>examples/regex/regexlib/RegexMembership/sat/membership_1331</t>
  </si>
  <si>
    <t>examples/regex/regexlib/RegexMembership/sat/membership_1249</t>
  </si>
  <si>
    <t>examples/regex/regexlib/RegexMembership/sat/membership_1321</t>
  </si>
  <si>
    <t>examples/regex/regexlib/RegexMembership/sat/membership_1259</t>
  </si>
  <si>
    <t>examples/regex/regexlib/RegexMembership/sat/membership_603</t>
  </si>
  <si>
    <t>examples/regex/regexlib/RegexMembership/sat/membership_1388</t>
  </si>
  <si>
    <t>examples/regex/regexlib/RegexMembership/sat/membership_1398</t>
  </si>
  <si>
    <t>examples/regex/regexlib/RegexMembership/sat/membership_613</t>
  </si>
  <si>
    <t>examples/regex/regexlib/RegexMembership/sat/membership_565</t>
  </si>
  <si>
    <t>examples/regex/regexlib/RegexMembership/sat/membership_1196</t>
  </si>
  <si>
    <t>examples/regex/regexlib/RegexMembership/sat/membership_575</t>
  </si>
  <si>
    <t>examples/regex/regexlib/RegexMembership/sat/membership_1186</t>
  </si>
  <si>
    <t>examples/regex/regexlib/RegexMembership/sat/membership_330</t>
  </si>
  <si>
    <t>examples/regex/regexlib/RegexMembership/sat/membership_248</t>
  </si>
  <si>
    <t>examples/regex/regexlib/RegexMembership/sat/membership_320</t>
  </si>
  <si>
    <t>examples/regex/regexlib/RegexMembership/sat/membership_258</t>
  </si>
  <si>
    <t>examples/regex/regexlib/RegexMembership/sat/membership_352</t>
  </si>
  <si>
    <t>examples/regex/regexlib/RegexMembership/sat/membership_342</t>
  </si>
  <si>
    <t>examples/regex/regexlib/RegexMembership/sat/membership_1915</t>
  </si>
  <si>
    <t>examples/regex/regexlib/RegexMembership/sat/membership_507</t>
  </si>
  <si>
    <t>examples/regex/regexlib/RegexMembership/sat/membership_1905</t>
  </si>
  <si>
    <t>examples/regex/regexlib/RegexMembership/sat/membership_517</t>
  </si>
  <si>
    <t>examples/regex/regexlib/RegexMembership/sat/membership_661</t>
  </si>
  <si>
    <t>examples/regex/regexlib/RegexMembership/sat/membership_1292</t>
  </si>
  <si>
    <t>examples/regex/regexlib/RegexMembership/sat/membership_719</t>
  </si>
  <si>
    <t>examples/regex/regexlib/RegexMembership/sat/membership_671</t>
  </si>
  <si>
    <t>examples/regex/regexlib/RegexMembership/sat/membership_709</t>
  </si>
  <si>
    <t>examples/regex/regexlib/RegexMembership/sat/membership_1282</t>
  </si>
  <si>
    <t>examples/regex/regexlib/RegexMembership/sat/membership_1353</t>
  </si>
  <si>
    <t>examples/regex/regexlib/RegexMembership/sat/membership_1343</t>
  </si>
  <si>
    <t>examples/regex/regexlib/RegexMembership/sat/membership_1506</t>
  </si>
  <si>
    <t>examples/regex/regexlib/RegexMembership/sat/membership_914</t>
  </si>
  <si>
    <t>examples/regex/regexlib/RegexMembership/sat/membership_1516</t>
  </si>
  <si>
    <t>examples/regex/regexlib/RegexMembership/sat/membership_904</t>
  </si>
  <si>
    <t>examples/regex/regexlib/RegexMembership/sat/membership_1660</t>
  </si>
  <si>
    <t>examples/regex/regexlib/RegexMembership/sat/membership_1718</t>
  </si>
  <si>
    <t>examples/regex/regexlib/RegexMembership/sat/membership_293</t>
  </si>
  <si>
    <t>examples/regex/regexlib/RegexMembership/sat/membership_1670</t>
  </si>
  <si>
    <t>examples/regex/regexlib/RegexMembership/sat/membership_283</t>
  </si>
  <si>
    <t>examples/regex/regexlib/RegexMembership/sat/membership_1708</t>
  </si>
  <si>
    <t>examples/regex/regexlib/RegexMembership/sat/membership_1035</t>
  </si>
  <si>
    <t>examples/regex/regexlib/RegexMembership/sat/membership_1025</t>
  </si>
  <si>
    <t>examples/regex/regexlib/RegexMembership/sat/membership_1646</t>
  </si>
  <si>
    <t>examples/regex/regexlib/RegexMembership/sat/membership_1656</t>
  </si>
  <si>
    <t>examples/regex/regexlib/RegexMembership/sat/membership_598</t>
  </si>
  <si>
    <t>examples/regex/regexlib/RegexMembership/sat/membership_1013</t>
  </si>
  <si>
    <t>examples/regex/regexlib/RegexMembership/sat/membership_1003</t>
  </si>
  <si>
    <t>examples/regex/regexlib/RegexMembership/sat/membership_588</t>
  </si>
  <si>
    <t>examples/regex/regexlib/RegexMembership/sat/membership_1375</t>
  </si>
  <si>
    <t>examples/regex/regexlib/RegexMembership/sat/membership_786</t>
  </si>
  <si>
    <t>examples/regex/regexlib/RegexMembership/sat/membership_1365</t>
  </si>
  <si>
    <t>examples/regex/regexlib/RegexMembership/sat/membership_796</t>
  </si>
  <si>
    <t>examples/regex/regexlib/RegexMembership/sat/membership_1520</t>
  </si>
  <si>
    <t>examples/regex/regexlib/RegexMembership/sat/membership_932</t>
  </si>
  <si>
    <t>examples/regex/regexlib/RegexMembership/sat/membership_1458</t>
  </si>
  <si>
    <t>examples/regex/regexlib/RegexMembership/sat/membership_1530</t>
  </si>
  <si>
    <t>examples/regex/regexlib/RegexMembership/sat/membership_922</t>
  </si>
  <si>
    <t>examples/regex/regexlib/RegexMembership/sat/membership_1448</t>
  </si>
  <si>
    <t>examples/regex/regexlib/RegexMembership/sat/membership_647</t>
  </si>
  <si>
    <t>examples/regex/regexlib/RegexMembership/sat/membership_657</t>
  </si>
  <si>
    <t>examples/regex/regexlib/RegexMembership/sat/membership_1599</t>
  </si>
  <si>
    <t>examples/regex/regexlib/RegexMembership/sat/membership_1589</t>
  </si>
  <si>
    <t>examples/regex/regexlib/RegexMembership/sat/membership_59</t>
  </si>
  <si>
    <t>examples/regex/regexlib/RegexMembership/sat/membership_374</t>
  </si>
  <si>
    <t>examples/regex/regexlib/RegexMembership/sat/membership_1787</t>
  </si>
  <si>
    <t>examples/regex/regexlib/RegexMembership/sat/membership_364</t>
  </si>
  <si>
    <t>examples/regex/regexlib/RegexMembership/sat/membership_49</t>
  </si>
  <si>
    <t>examples/regex/regexlib/RegexMembership/sat/membership_1797</t>
  </si>
  <si>
    <t>examples/regex/regexlib/RegexMembership/sat/membership_521</t>
  </si>
  <si>
    <t>examples/regex/regexlib/RegexMembership/sat/membership_459</t>
  </si>
  <si>
    <t>examples/regex/regexlib/RegexMembership/sat/membership_531</t>
  </si>
  <si>
    <t>examples/regex/regexlib/RegexMembership/sat/membership_449</t>
  </si>
  <si>
    <t>examples/regex/regexlib/RegexMembership/sat/membership_543</t>
  </si>
  <si>
    <t>examples/regex/regexlib/RegexMembership/sat/membership_1829</t>
  </si>
  <si>
    <t>examples/regex/regexlib/RegexMembership/sat/membership_553</t>
  </si>
  <si>
    <t>examples/regex/regexlib/RegexMembership/sat/membership_1839</t>
  </si>
  <si>
    <t>examples/regex/regexlib/RegexMembership/sat/membership_316</t>
  </si>
  <si>
    <t>examples/regex/regexlib/RegexMembership/sat/membership_306</t>
  </si>
  <si>
    <t>examples/regex/regexlib/RegexMembership/sat/membership_891</t>
  </si>
  <si>
    <t>examples/regex/regexlib/RegexMembership/sat/membership_1483</t>
  </si>
  <si>
    <t>examples/regex/regexlib/RegexMembership/sat/membership_108</t>
  </si>
  <si>
    <t>examples/regex/regexlib/RegexMembership/sat/membership_118</t>
  </si>
  <si>
    <t>examples/regex/regexlib/RegexMembership/sat/membership_881</t>
  </si>
  <si>
    <t>examples/regex/regexlib/RegexMembership/sat/membership_1493</t>
  </si>
  <si>
    <t>examples/regex/regexlib/RegexMembership/sat/membership_625</t>
  </si>
  <si>
    <t>examples/regex/regexlib/RegexMembership/sat/membership_635</t>
  </si>
  <si>
    <t>examples/regex/regexlib/RegexMembership/sat/membership_1542</t>
  </si>
  <si>
    <t>examples/regex/regexlib/RegexMembership/sat/membership_950</t>
  </si>
  <si>
    <t>examples/regex/regexlib/RegexMembership/sat/membership_828</t>
  </si>
  <si>
    <t>examples/regex/regexlib/RegexMembership/sat/membership_1552</t>
  </si>
  <si>
    <t>examples/regex/regexlib/RegexMembership/sat/membership_940</t>
  </si>
  <si>
    <t>examples/regex/regexlib/RegexMembership/sat/membership_838</t>
  </si>
  <si>
    <t>examples/regex/regexlib/RegexMembership/sat/membership_2</t>
  </si>
  <si>
    <t>examples/regex/regexlib/RegexMembership/sat/membership_1317</t>
  </si>
  <si>
    <t>examples/regex/regexlib/RegexMembership/sat/membership_1307</t>
  </si>
  <si>
    <t>examples/regex/regexlib/RegexMembership/sat/membership_1071</t>
  </si>
  <si>
    <t>examples/regex/regexlib/RegexMembership/sat/membership_1109</t>
  </si>
  <si>
    <t>examples/regex/regexlib/RegexMembership/sat/membership_482</t>
  </si>
  <si>
    <t>examples/regex/regexlib/RegexMembership/sat/membership_1890</t>
  </si>
  <si>
    <t>examples/regex/regexlib/RegexMembership/sat/membership_1061</t>
  </si>
  <si>
    <t>examples/regex/regexlib/RegexMembership/sat/membership_492</t>
  </si>
  <si>
    <t>examples/regex/regexlib/RegexMembership/sat/membership_1880</t>
  </si>
  <si>
    <t>examples/regex/regexlib/RegexMembership/sat/membership_1119</t>
  </si>
  <si>
    <t>examples/regex/regexlib/RegexMembership/sat/membership_82</t>
  </si>
  <si>
    <t>examples/regex/regexlib/RegexMembership/sat/membership_1624</t>
  </si>
  <si>
    <t>examples/regex/regexlib/RegexMembership/sat/membership_92</t>
  </si>
  <si>
    <t>examples/regex/regexlib/RegexMembership/sat/membership_1634</t>
  </si>
  <si>
    <t>examples/regex/regexlib/RegexMembership/sat/membership_66</t>
  </si>
  <si>
    <t>examples/regex/regexlib/RegexMembership/sat/membership_233</t>
  </si>
  <si>
    <t>examples/regex/regexlib/RegexMembership/sat/membership_76</t>
  </si>
  <si>
    <t>examples/regex/regexlib/RegexMembership/sat/membership_223</t>
  </si>
  <si>
    <t>examples/regex/regexlib/RegexMembership/sat/membership_1095</t>
  </si>
  <si>
    <t>examples/regex/regexlib/RegexMembership/sat/membership_1874</t>
  </si>
  <si>
    <t>examples/regex/regexlib/RegexMembership/sat/membership_466</t>
  </si>
  <si>
    <t>examples/regex/regexlib/RegexMembership/sat/membership_1085</t>
  </si>
  <si>
    <t>examples/regex/regexlib/RegexMembership/sat/membership_1864</t>
  </si>
  <si>
    <t>examples/regex/regexlib/RegexMembership/sat/membership_476</t>
  </si>
  <si>
    <t>examples/regex/regexlib/RegexMembership/sat/membership_678</t>
  </si>
  <si>
    <t>examples/regex/regexlib/RegexMembership/sat/membership_700</t>
  </si>
  <si>
    <t>examples/regex/regexlib/RegexMembership/sat/membership_668</t>
  </si>
  <si>
    <t>examples/regex/regexlib/RegexMembership/sat/membership_710</t>
  </si>
  <si>
    <t>examples/regex/regexlib/RegexMembership/sat/membership_155</t>
  </si>
  <si>
    <t>examples/regex/regexlib/RegexMembership/sat/membership_145</t>
  </si>
  <si>
    <t>examples/regex/regexlib/RegexMembership/sat/membership_1232</t>
  </si>
  <si>
    <t>examples/regex/regexlib/RegexMembership/sat/membership_1222</t>
  </si>
  <si>
    <t>examples/regex/regexlib/RegexMembership/sat/membership_1467</t>
  </si>
  <si>
    <t>examples/regex/regexlib/RegexMembership/sat/membership_875</t>
  </si>
  <si>
    <t>examples/regex/regexlib/RegexMembership/sat/membership_1477</t>
  </si>
  <si>
    <t>examples/regex/regexlib/RegexMembership/sat/membership_865</t>
  </si>
  <si>
    <t>examples/regex/regexlib/RegexMembership/sat/membership_1679</t>
  </si>
  <si>
    <t>examples/regex/regexlib/RegexMembership/sat/membership_1701</t>
  </si>
  <si>
    <t>examples/regex/regexlib/RegexMembership/sat/membership_1669</t>
  </si>
  <si>
    <t>examples/regex/regexlib/RegexMembership/sat/membership_1711</t>
  </si>
  <si>
    <t>examples/regex/regexlib/RegexMembership/sat/membership_1154</t>
  </si>
  <si>
    <t>examples/regex/regexlib/RegexMembership/sat/membership_1144</t>
  </si>
  <si>
    <t>examples/regex/regexlib/RegexMembership/sat/membership_1136</t>
  </si>
  <si>
    <t>examples/regex/regexlib/RegexMembership/sat/membership_1126</t>
  </si>
  <si>
    <t>examples/regex/regexlib/RegexMembership/sat/membership_390</t>
  </si>
  <si>
    <t>examples/regex/regexlib/RegexMembership/sat/membership_1763</t>
  </si>
  <si>
    <t>examples/regex/regexlib/RegexMembership/sat/membership_380</t>
  </si>
  <si>
    <t>examples/regex/regexlib/RegexMembership/sat/membership_1773</t>
  </si>
  <si>
    <t>examples/regex/regexlib/RegexMembership/sat/membership_1405</t>
  </si>
  <si>
    <t>examples/regex/regexlib/RegexMembership/sat/membership_817</t>
  </si>
  <si>
    <t>examples/regex/regexlib/RegexMembership/sat/membership_1415</t>
  </si>
  <si>
    <t>examples/regex/regexlib/RegexMembership/sat/membership_807</t>
  </si>
  <si>
    <t>examples/regex/regexlib/RegexMembership/sat/membership_1328</t>
  </si>
  <si>
    <t>examples/regex/regexlib/RegexMembership/sat/membership_1250</t>
  </si>
  <si>
    <t>examples/regex/regexlib/RegexMembership/sat/membership_1338</t>
  </si>
  <si>
    <t>examples/regex/regexlib/RegexMembership/sat/membership_1240</t>
  </si>
  <si>
    <t>examples/regex/regexlib/RegexMembership/sat/membership_137</t>
  </si>
  <si>
    <t>examples/regex/regexlib/RegexMembership/sat/membership_127</t>
  </si>
  <si>
    <t>examples/regex/regexlib/RegexMembership/sat/membership_1391</t>
  </si>
  <si>
    <t>examples/regex/regexlib/RegexMembership/sat/membership_762</t>
  </si>
  <si>
    <t>examples/regex/regexlib/RegexMembership/sat/membership_1381</t>
  </si>
  <si>
    <t>examples/regex/regexlib/RegexMembership/sat/membership_772</t>
  </si>
  <si>
    <t>examples/regex/regexlib/RegexMembership/sat/membership_1816</t>
  </si>
  <si>
    <t>examples/regex/regexlib/RegexMembership/sat/membership_404</t>
  </si>
  <si>
    <t>examples/regex/regexlib/RegexMembership/sat/membership_1806</t>
  </si>
  <si>
    <t>examples/regex/regexlib/RegexMembership/sat/membership_414</t>
  </si>
  <si>
    <t>examples/regex/regexlib/RegexMembership/sat/membership_329</t>
  </si>
  <si>
    <t>examples/regex/regexlib/RegexMembership/sat/membership_251</t>
  </si>
  <si>
    <t>examples/regex/regexlib/RegexMembership/sat/membership_14</t>
  </si>
  <si>
    <t>examples/regex/regexlib/RegexMembership/sat/membership_339</t>
  </si>
  <si>
    <t>examples/regex/regexlib/RegexMembership/sat/membership_241</t>
  </si>
  <si>
    <t>examples/regex/regexlib/RegexMembership/sat/membership_1588</t>
  </si>
  <si>
    <t>examples/regex/regexlib/RegexMembership/sat/membership_1598</t>
  </si>
  <si>
    <t>examples/regex/regexlib/RegexMembership/sat/membership_656</t>
  </si>
  <si>
    <t>examples/regex/regexlib/RegexMembership/sat/membership_646</t>
  </si>
  <si>
    <t>examples/regex/regexlib/RegexMembership/sat/membership_448</t>
  </si>
  <si>
    <t>examples/regex/regexlib/RegexMembership/sat/membership_530</t>
  </si>
  <si>
    <t>examples/regex/regexlib/RegexMembership/sat/membership_458</t>
  </si>
  <si>
    <t>examples/regex/regexlib/RegexMembership/sat/membership_520</t>
  </si>
  <si>
    <t>examples/regex/regexlib/RegexMembership/sat/membership_1796</t>
  </si>
  <si>
    <t>examples/regex/regexlib/RegexMembership/sat/membership_365</t>
  </si>
  <si>
    <t>examples/regex/regexlib/RegexMembership/sat/membership_48</t>
  </si>
  <si>
    <t>examples/regex/regexlib/RegexMembership/sat/membership_1786</t>
  </si>
  <si>
    <t>examples/regex/regexlib/RegexMembership/sat/membership_58</t>
  </si>
  <si>
    <t>examples/regex/regexlib/RegexMembership/sat/membership_375</t>
  </si>
  <si>
    <t>examples/regex/regexlib/RegexMembership/sat/membership_1002</t>
  </si>
  <si>
    <t>examples/regex/regexlib/RegexMembership/sat/membership_589</t>
  </si>
  <si>
    <t>examples/regex/regexlib/RegexMembership/sat/membership_599</t>
  </si>
  <si>
    <t>examples/regex/regexlib/RegexMembership/sat/membership_1012</t>
  </si>
  <si>
    <t>examples/regex/regexlib/RegexMembership/sat/membership_1657</t>
  </si>
  <si>
    <t>examples/regex/regexlib/RegexMembership/sat/membership_1647</t>
  </si>
  <si>
    <t>examples/regex/regexlib/RegexMembership/sat/membership_1449</t>
  </si>
  <si>
    <t>examples/regex/regexlib/RegexMembership/sat/membership_923</t>
  </si>
  <si>
    <t>examples/regex/regexlib/RegexMembership/sat/membership_1531</t>
  </si>
  <si>
    <t>examples/regex/regexlib/RegexMembership/sat/membership_1459</t>
  </si>
  <si>
    <t>examples/regex/regexlib/RegexMembership/sat/membership_933</t>
  </si>
  <si>
    <t>examples/regex/regexlib/RegexMembership/sat/membership_1521</t>
  </si>
  <si>
    <t>examples/regex/regexlib/RegexMembership/sat/membership_797</t>
  </si>
  <si>
    <t>examples/regex/regexlib/RegexMembership/sat/membership_1364</t>
  </si>
  <si>
    <t>examples/regex/regexlib/RegexMembership/sat/membership_787</t>
  </si>
  <si>
    <t>examples/regex/regexlib/RegexMembership/sat/membership_1374</t>
  </si>
  <si>
    <t>examples/regex/regexlib/RegexMembership/sat/membership_1306</t>
  </si>
  <si>
    <t>examples/regex/regexlib/RegexMembership/sat/membership_1316</t>
  </si>
  <si>
    <t>examples/regex/regexlib/RegexMembership/sat/membership_839</t>
  </si>
  <si>
    <t>examples/regex/regexlib/RegexMembership/sat/membership_3</t>
  </si>
  <si>
    <t>examples/regex/regexlib/RegexMembership/sat/membership_941</t>
  </si>
  <si>
    <t>examples/regex/regexlib/RegexMembership/sat/membership_1553</t>
  </si>
  <si>
    <t>examples/regex/regexlib/RegexMembership/sat/membership_829</t>
  </si>
  <si>
    <t>examples/regex/regexlib/RegexMembership/sat/membership_951</t>
  </si>
  <si>
    <t>examples/regex/regexlib/RegexMembership/sat/membership_1543</t>
  </si>
  <si>
    <t>examples/regex/regexlib/RegexMembership/sat/membership_1635</t>
  </si>
  <si>
    <t>examples/regex/regexlib/RegexMembership/sat/membership_93</t>
  </si>
  <si>
    <t>examples/regex/regexlib/RegexMembership/sat/membership_1625</t>
  </si>
  <si>
    <t>examples/regex/regexlib/RegexMembership/sat/membership_83</t>
  </si>
  <si>
    <t>examples/regex/regexlib/RegexMembership/sat/membership_1881</t>
  </si>
  <si>
    <t>examples/regex/regexlib/RegexMembership/sat/membership_493</t>
  </si>
  <si>
    <t>examples/regex/regexlib/RegexMembership/sat/membership_1118</t>
  </si>
  <si>
    <t>examples/regex/regexlib/RegexMembership/sat/membership_1060</t>
  </si>
  <si>
    <t>examples/regex/regexlib/RegexMembership/sat/membership_1108</t>
  </si>
  <si>
    <t>examples/regex/regexlib/RegexMembership/sat/membership_1891</t>
  </si>
  <si>
    <t>examples/regex/regexlib/RegexMembership/sat/membership_483</t>
  </si>
  <si>
    <t>examples/regex/regexlib/RegexMembership/sat/membership_1070</t>
  </si>
  <si>
    <t>examples/regex/regexlib/RegexMembership/sat/membership_307</t>
  </si>
  <si>
    <t>examples/regex/regexlib/RegexMembership/sat/membership_317</t>
  </si>
  <si>
    <t>examples/regex/regexlib/RegexMembership/sat/membership_1838</t>
  </si>
  <si>
    <t>examples/regex/regexlib/RegexMembership/sat/membership_552</t>
  </si>
  <si>
    <t>examples/regex/regexlib/RegexMembership/sat/membership_1828</t>
  </si>
  <si>
    <t>examples/regex/regexlib/RegexMembership/sat/membership_542</t>
  </si>
  <si>
    <t>examples/regex/regexlib/RegexMembership/sat/membership_634</t>
  </si>
  <si>
    <t>examples/regex/regexlib/RegexMembership/sat/membership_624</t>
  </si>
  <si>
    <t>examples/regex/regexlib/RegexMembership/sat/membership_119</t>
  </si>
  <si>
    <t>examples/regex/regexlib/RegexMembership/sat/membership_1492</t>
  </si>
  <si>
    <t>examples/regex/regexlib/RegexMembership/sat/membership_880</t>
  </si>
  <si>
    <t>examples/regex/regexlib/RegexMembership/sat/membership_1482</t>
  </si>
  <si>
    <t>examples/regex/regexlib/RegexMembership/sat/membership_890</t>
  </si>
  <si>
    <t>examples/regex/regexlib/RegexMembership/sat/membership_109</t>
  </si>
  <si>
    <t>examples/regex/regexlib/RegexMembership/sat/membership_864</t>
  </si>
  <si>
    <t>examples/regex/regexlib/RegexMembership/sat/membership_1476</t>
  </si>
  <si>
    <t>examples/regex/regexlib/RegexMembership/sat/membership_874</t>
  </si>
  <si>
    <t>examples/regex/regexlib/RegexMembership/sat/membership_1466</t>
  </si>
  <si>
    <t>examples/regex/regexlib/RegexMembership/sat/membership_1223</t>
  </si>
  <si>
    <t>examples/regex/regexlib/RegexMembership/sat/membership_1233</t>
  </si>
  <si>
    <t>examples/regex/regexlib/RegexMembership/sat/membership_1145</t>
  </si>
  <si>
    <t>examples/regex/regexlib/RegexMembership/sat/membership_1155</t>
  </si>
  <si>
    <t>examples/regex/regexlib/RegexMembership/sat/membership_1710</t>
  </si>
  <si>
    <t>examples/regex/regexlib/RegexMembership/sat/membership_1668</t>
  </si>
  <si>
    <t>examples/regex/regexlib/RegexMembership/sat/membership_1700</t>
  </si>
  <si>
    <t>examples/regex/regexlib/RegexMembership/sat/membership_1678</t>
  </si>
  <si>
    <t>examples/regex/regexlib/RegexMembership/sat/membership_477</t>
  </si>
  <si>
    <t>examples/regex/regexlib/RegexMembership/sat/membership_1865</t>
  </si>
  <si>
    <t>examples/regex/regexlib/RegexMembership/sat/membership_1084</t>
  </si>
  <si>
    <t>examples/regex/regexlib/RegexMembership/sat/membership_467</t>
  </si>
  <si>
    <t>examples/regex/regexlib/RegexMembership/sat/membership_1875</t>
  </si>
  <si>
    <t>examples/regex/regexlib/RegexMembership/sat/membership_1094</t>
  </si>
  <si>
    <t>examples/regex/regexlib/RegexMembership/sat/membership_222</t>
  </si>
  <si>
    <t>examples/regex/regexlib/RegexMembership/sat/membership_77</t>
  </si>
  <si>
    <t>examples/regex/regexlib/RegexMembership/sat/membership_232</t>
  </si>
  <si>
    <t>examples/regex/regexlib/RegexMembership/sat/membership_67</t>
  </si>
  <si>
    <t>examples/regex/regexlib/RegexMembership/sat/membership_144</t>
  </si>
  <si>
    <t>examples/regex/regexlib/RegexMembership/sat/membership_154</t>
  </si>
  <si>
    <t>examples/regex/regexlib/RegexMembership/sat/membership_711</t>
  </si>
  <si>
    <t>examples/regex/regexlib/RegexMembership/sat/membership_669</t>
  </si>
  <si>
    <t>examples/regex/regexlib/RegexMembership/sat/membership_701</t>
  </si>
  <si>
    <t>examples/regex/regexlib/RegexMembership/sat/membership_679</t>
  </si>
  <si>
    <t>examples/regex/regexlib/RegexMembership/sat/membership_773</t>
  </si>
  <si>
    <t>examples/regex/regexlib/RegexMembership/sat/membership_1380</t>
  </si>
  <si>
    <t>examples/regex/regexlib/RegexMembership/sat/membership_763</t>
  </si>
  <si>
    <t>examples/regex/regexlib/RegexMembership/sat/membership_1390</t>
  </si>
  <si>
    <t>examples/regex/regexlib/RegexMembership/sat/membership_126</t>
  </si>
  <si>
    <t>examples/regex/regexlib/RegexMembership/sat/membership_136</t>
  </si>
  <si>
    <t>examples/regex/regexlib/RegexMembership/sat/membership_240</t>
  </si>
  <si>
    <t>examples/regex/regexlib/RegexMembership/sat/membership_15</t>
  </si>
  <si>
    <t>examples/regex/regexlib/RegexMembership/sat/membership_338</t>
  </si>
  <si>
    <t>examples/regex/regexlib/RegexMembership/sat/membership_250</t>
  </si>
  <si>
    <t>examples/regex/regexlib/RegexMembership/sat/membership_328</t>
  </si>
  <si>
    <t>examples/regex/regexlib/RegexMembership/sat/membership_415</t>
  </si>
  <si>
    <t>examples/regex/regexlib/RegexMembership/sat/membership_1807</t>
  </si>
  <si>
    <t>examples/regex/regexlib/RegexMembership/sat/membership_405</t>
  </si>
  <si>
    <t>examples/regex/regexlib/RegexMembership/sat/membership_1817</t>
  </si>
  <si>
    <t>examples/regex/regexlib/RegexMembership/sat/membership_1772</t>
  </si>
  <si>
    <t>examples/regex/regexlib/RegexMembership/sat/membership_381</t>
  </si>
  <si>
    <t>examples/regex/regexlib/RegexMembership/sat/membership_1762</t>
  </si>
  <si>
    <t>examples/regex/regexlib/RegexMembership/sat/membership_391</t>
  </si>
  <si>
    <t>examples/regex/regexlib/RegexMembership/sat/membership_1127</t>
  </si>
  <si>
    <t>examples/regex/regexlib/RegexMembership/sat/membership_1137</t>
  </si>
  <si>
    <t>examples/regex/regexlib/RegexMembership/sat/membership_1241</t>
  </si>
  <si>
    <t>examples/regex/regexlib/RegexMembership/sat/membership_1251</t>
  </si>
  <si>
    <t>examples/regex/regexlib/RegexMembership/sat/membership_1329</t>
  </si>
  <si>
    <t>examples/regex/regexlib/RegexMembership/sat/membership_806</t>
  </si>
  <si>
    <t>examples/regex/regexlib/RegexMembership/sat/membership_1414</t>
  </si>
  <si>
    <t>examples/regex/regexlib/RegexMembership/sat/membership_816</t>
  </si>
  <si>
    <t>examples/regex/regexlib/RegexMembership/sat/membership_1404</t>
  </si>
  <si>
    <t>examples/regex/regexlib/RegexMembership/sat/membership_1267</t>
  </si>
  <si>
    <t>examples/regex/regexlib/RegexMembership/sat/membership_694</t>
  </si>
  <si>
    <t>examples/regex/regexlib/RegexMembership/sat/membership_1277</t>
  </si>
  <si>
    <t>examples/regex/regexlib/RegexMembership/sat/membership_684</t>
  </si>
  <si>
    <t>examples/regex/regexlib/RegexMembership/sat/membership_820</t>
  </si>
  <si>
    <t>examples/regex/regexlib/RegexMembership/sat/membership_1432</t>
  </si>
  <si>
    <t>examples/regex/regexlib/RegexMembership/sat/membership_958</t>
  </si>
  <si>
    <t>examples/regex/regexlib/RegexMembership/sat/membership_830</t>
  </si>
  <si>
    <t>examples/regex/regexlib/RegexMembership/sat/membership_1422</t>
  </si>
  <si>
    <t>examples/regex/regexlib/RegexMembership/sat/membership_948</t>
  </si>
  <si>
    <t>examples/regex/regexlib/RegexMembership/sat/membership_1754</t>
  </si>
  <si>
    <t>examples/regex/regexlib/RegexMembership/sat/membership_1744</t>
  </si>
  <si>
    <t>examples/regex/regexlib/RegexMembership/sat/membership_1101</t>
  </si>
  <si>
    <t>examples/regex/regexlib/RegexMembership/sat/membership_1898</t>
  </si>
  <si>
    <t>examples/regex/regexlib/RegexMembership/sat/membership_1079</t>
  </si>
  <si>
    <t>examples/regex/regexlib/RegexMembership/sat/membership_1888</t>
  </si>
  <si>
    <t>examples/regex/regexlib/RegexMembership/sat/membership_1111</t>
  </si>
  <si>
    <t>examples/regex/regexlib/RegexMembership/sat/membership_1069</t>
  </si>
  <si>
    <t>examples/regex/regexlib/RegexMembership/sat/membership_266</t>
  </si>
  <si>
    <t>examples/regex/regexlib/RegexMembership/sat/membership_33</t>
  </si>
  <si>
    <t>examples/regex/regexlib/RegexMembership/sat/membership_1695</t>
  </si>
  <si>
    <t>examples/regex/regexlib/RegexMembership/sat/membership_276</t>
  </si>
  <si>
    <t>examples/regex/regexlib/RegexMembership/sat/membership_23</t>
  </si>
  <si>
    <t>examples/regex/regexlib/RegexMembership/sat/membership_1685</t>
  </si>
  <si>
    <t>examples/regex/regexlib/RegexMembership/sat/membership_433</t>
  </si>
  <si>
    <t>examples/regex/regexlib/RegexMembership/sat/membership_1821</t>
  </si>
  <si>
    <t>examples/regex/regexlib/RegexMembership/sat/membership_423</t>
  </si>
  <si>
    <t>examples/regex/regexlib/RegexMembership/sat/membership_1831</t>
  </si>
  <si>
    <t>examples/regex/regexlib/RegexMembership/sat/membership_755</t>
  </si>
  <si>
    <t>examples/regex/regexlib/RegexMembership/sat/membership_745</t>
  </si>
  <si>
    <t>examples/regex/regexlib/RegexMembership/sat/membership_899</t>
  </si>
  <si>
    <t>examples/regex/regexlib/RegexMembership/sat/membership_100</t>
  </si>
  <si>
    <t>examples/regex/regexlib/RegexMembership/sat/membership_110</t>
  </si>
  <si>
    <t>examples/regex/regexlib/RegexMembership/sat/membership_889</t>
  </si>
  <si>
    <t>examples/regex/regexlib/RegexMembership/sat/membership_162</t>
  </si>
  <si>
    <t>examples/regex/regexlib/RegexMembership/sat/membership_1591</t>
  </si>
  <si>
    <t>examples/regex/regexlib/RegexMembership/sat/membership_983</t>
  </si>
  <si>
    <t>examples/regex/regexlib/RegexMembership/sat/membership_172</t>
  </si>
  <si>
    <t>examples/regex/regexlib/RegexMembership/sat/membership_1581</t>
  </si>
  <si>
    <t>examples/regex/regexlib/RegexMembership/sat/membership_993</t>
  </si>
  <si>
    <t>examples/regex/regexlib/RegexMembership/sat/membership_737</t>
  </si>
  <si>
    <t>examples/regex/regexlib/RegexMembership/sat/membership_727</t>
  </si>
  <si>
    <t>examples/regex/regexlib/RegexMembership/sat/membership_451</t>
  </si>
  <si>
    <t>examples/regex/regexlib/RegexMembership/sat/membership_1843</t>
  </si>
  <si>
    <t>examples/regex/regexlib/RegexMembership/sat/membership_529</t>
  </si>
  <si>
    <t>examples/regex/regexlib/RegexMembership/sat/membership_441</t>
  </si>
  <si>
    <t>examples/regex/regexlib/RegexMembership/sat/membership_1853</t>
  </si>
  <si>
    <t>examples/regex/regexlib/RegexMembership/sat/membership_539</t>
  </si>
  <si>
    <t>examples/regex/regexlib/RegexMembership/sat/membership_204</t>
  </si>
  <si>
    <t>examples/regex/regexlib/RegexMembership/sat/membership_51</t>
  </si>
  <si>
    <t>examples/regex/regexlib/RegexMembership/sat/membership_214</t>
  </si>
  <si>
    <t>examples/regex/regexlib/RegexMembership/sat/membership_41</t>
  </si>
  <si>
    <t>examples/regex/regexlib/RegexMembership/sat/membership_1163</t>
  </si>
  <si>
    <t>examples/regex/regexlib/RegexMembership/sat/membership_590</t>
  </si>
  <si>
    <t>examples/regex/regexlib/RegexMembership/sat/membership_1173</t>
  </si>
  <si>
    <t>examples/regex/regexlib/RegexMembership/sat/membership_580</t>
  </si>
  <si>
    <t>examples/regex/regexlib/RegexMembership/sat/membership_1736</t>
  </si>
  <si>
    <t>examples/regex/regexlib/RegexMembership/sat/membership_1726</t>
  </si>
  <si>
    <t>examples/regex/regexlib/RegexMembership/sat/membership_842</t>
  </si>
  <si>
    <t>examples/regex/regexlib/RegexMembership/sat/membership_1450</t>
  </si>
  <si>
    <t>examples/regex/regexlib/RegexMembership/sat/membership_1528</t>
  </si>
  <si>
    <t>examples/regex/regexlib/RegexMembership/sat/membership_852</t>
  </si>
  <si>
    <t>examples/regex/regexlib/RegexMembership/sat/membership_1440</t>
  </si>
  <si>
    <t>examples/regex/regexlib/RegexMembership/sat/membership_1538</t>
  </si>
  <si>
    <t>examples/regex/regexlib/RegexMembership/sat/membership_1205</t>
  </si>
  <si>
    <t>examples/regex/regexlib/RegexMembership/sat/membership_1215</t>
  </si>
  <si>
    <t>examples/regex/regexlib/RegexMembership/sat/membership_1399</t>
  </si>
  <si>
    <t>examples/regex/regexlib/RegexMembership/sat/membership_612</t>
  </si>
  <si>
    <t>examples/regex/regexlib/RegexMembership/sat/membership_602</t>
  </si>
  <si>
    <t>examples/regex/regexlib/RegexMembership/sat/membership_1389</t>
  </si>
  <si>
    <t>examples/regex/regexlib/RegexMembership/sat/membership_259</t>
  </si>
  <si>
    <t>examples/regex/regexlib/RegexMembership/sat/membership_321</t>
  </si>
  <si>
    <t>examples/regex/regexlib/RegexMembership/sat/membership_249</t>
  </si>
  <si>
    <t>examples/regex/regexlib/RegexMembership/sat/membership_331</t>
  </si>
  <si>
    <t>examples/regex/regexlib/RegexMembership/sat/membership_1187</t>
  </si>
  <si>
    <t>examples/regex/regexlib/RegexMembership/sat/membership_574</t>
  </si>
  <si>
    <t>examples/regex/regexlib/RegexMembership/sat/membership_1197</t>
  </si>
  <si>
    <t>examples/regex/regexlib/RegexMembership/sat/membership_564</t>
  </si>
  <si>
    <t>examples/regex/regexlib/RegexMembership/sat/membership_1613</t>
  </si>
  <si>
    <t>examples/regex/regexlib/RegexMembership/sat/membership_398</t>
  </si>
  <si>
    <t>examples/regex/regexlib/RegexMembership/sat/membership_388</t>
  </si>
  <si>
    <t>examples/regex/regexlib/RegexMembership/sat/membership_1603</t>
  </si>
  <si>
    <t>examples/regex/regexlib/RegexMembership/sat/membership_1046</t>
  </si>
  <si>
    <t>examples/regex/regexlib/RegexMembership/sat/membership_1056</t>
  </si>
  <si>
    <t>examples/regex/regexlib/RegexMembership/sat/membership_1258</t>
  </si>
  <si>
    <t>examples/regex/regexlib/RegexMembership/sat/membership_1320</t>
  </si>
  <si>
    <t>examples/regex/regexlib/RegexMembership/sat/membership_1248</t>
  </si>
  <si>
    <t>examples/regex/regexlib/RegexMembership/sat/membership_1330</t>
  </si>
  <si>
    <t>examples/regex/regexlib/RegexMembership/sat/membership_186</t>
  </si>
  <si>
    <t>examples/regex/regexlib/RegexMembership/sat/membership_967</t>
  </si>
  <si>
    <t>examples/regex/regexlib/RegexMembership/sat/membership_1575</t>
  </si>
  <si>
    <t>examples/regex/regexlib/RegexMembership/sat/membership_196</t>
  </si>
  <si>
    <t>examples/regex/regexlib/RegexMembership/sat/membership_977</t>
  </si>
  <si>
    <t>examples/regex/regexlib/RegexMembership/sat/membership_1565</t>
  </si>
  <si>
    <t>examples/regex/regexlib/RegexMembership/sat/membership_905</t>
  </si>
  <si>
    <t>examples/regex/regexlib/RegexMembership/sat/membership_1517</t>
  </si>
  <si>
    <t>examples/regex/regexlib/RegexMembership/sat/membership_915</t>
  </si>
  <si>
    <t>examples/regex/regexlib/RegexMembership/sat/membership_1507</t>
  </si>
  <si>
    <t>examples/regex/regexlib/RegexMembership/sat/membership_1342</t>
  </si>
  <si>
    <t>examples/regex/regexlib/RegexMembership/sat/membership_1352</t>
  </si>
  <si>
    <t>examples/regex/regexlib/RegexMembership/sat/membership_1024</t>
  </si>
  <si>
    <t>examples/regex/regexlib/RegexMembership/sat/membership_1034</t>
  </si>
  <si>
    <t>examples/regex/regexlib/RegexMembership/sat/membership_282</t>
  </si>
  <si>
    <t>examples/regex/regexlib/RegexMembership/sat/membership_1709</t>
  </si>
  <si>
    <t>examples/regex/regexlib/RegexMembership/sat/membership_1671</t>
  </si>
  <si>
    <t>examples/regex/regexlib/RegexMembership/sat/membership_1719</t>
  </si>
  <si>
    <t>examples/regex/regexlib/RegexMembership/sat/membership_292</t>
  </si>
  <si>
    <t>examples/regex/regexlib/RegexMembership/sat/membership_1661</t>
  </si>
  <si>
    <t>examples/regex/regexlib/RegexMembership/sat/membership_516</t>
  </si>
  <si>
    <t>examples/regex/regexlib/RegexMembership/sat/membership_1904</t>
  </si>
  <si>
    <t>examples/regex/regexlib/RegexMembership/sat/membership_506</t>
  </si>
  <si>
    <t>examples/regex/regexlib/RegexMembership/sat/membership_1914</t>
  </si>
  <si>
    <t>examples/regex/regexlib/RegexMembership/sat/membership_343</t>
  </si>
  <si>
    <t>examples/regex/regexlib/RegexMembership/sat/membership_353</t>
  </si>
  <si>
    <t>examples/regex/regexlib/RegexMembership/sat/membership_708</t>
  </si>
  <si>
    <t>examples/regex/regexlib/RegexMembership/sat/membership_1283</t>
  </si>
  <si>
    <t>examples/regex/regexlib/RegexMembership/sat/membership_670</t>
  </si>
  <si>
    <t>examples/regex/regexlib/RegexMembership/sat/membership_1293</t>
  </si>
  <si>
    <t>examples/regex/regexlib/RegexMembership/sat/membership_718</t>
  </si>
  <si>
    <t>examples/regex/regexlib/RegexMembership/sat/membership_660</t>
  </si>
  <si>
    <t>examples/regex/regexlib/RegexIntersection/sat/intersect_2_2</t>
  </si>
  <si>
    <t>examples/regex/regexlib/RegexIntersection/sat/intersect_8_9</t>
  </si>
  <si>
    <t>examples/regex/regexlib/RegexIntersection/sat/intersect_7_7</t>
  </si>
  <si>
    <t>examples/regex/regexlib/RegexIntersection/sat/intersect_0_4</t>
  </si>
  <si>
    <t>examples/regex/regexlib/RegexIntersection/sat/intersect_8_8</t>
  </si>
  <si>
    <t>examples/regex/regexlib/RegexIntersection/sat/intersect_0_6</t>
  </si>
  <si>
    <t>examples/regex/regexlib/RegexIntersection/sat/intersect_9_9</t>
  </si>
  <si>
    <t>examples/regex/regexlib/RegexIntersection/sat/intersect_1_5</t>
  </si>
  <si>
    <t>examples/regex/regexlib/RegexIntersection/sat/intersect_6_7</t>
  </si>
  <si>
    <t>examples/regex/regexlib/RegexIntersection/sat/intersect_4_9</t>
  </si>
  <si>
    <t>examples/regex/regexlib/RegexIntersection/sat/intersect_6_6</t>
  </si>
  <si>
    <t>examples/regex/regexlib/RegexIntersection/sat/intersect_4_8</t>
  </si>
  <si>
    <t>examples/regex/regexlib/RegexIntersection/sat/intersect_0_7</t>
  </si>
  <si>
    <t>examples/regex/regexlib/RegexIntersection/sat/intersect_3_3</t>
  </si>
  <si>
    <t>examples/regex/regexlib/RegexIntersection/sat/intersect_4_4</t>
  </si>
  <si>
    <t>examples/regex/regexlib/RegexIntersection/sat/intersect_7_9</t>
  </si>
  <si>
    <t>examples/regex/regexlib/RegexIntersection/sat/intersect_1_1</t>
  </si>
  <si>
    <t>examples/regex/regexlib/RegexIntersection/sat/intersect_7_8</t>
  </si>
  <si>
    <t>examples/regex/regexlib/RegexIntersection/sat/intersect_0_8</t>
  </si>
  <si>
    <t>examples/regex/regexlib/RegexIntersection/sat/intersect_6_9</t>
  </si>
  <si>
    <t>examples/regex/regexlib/RegexIntersection/sat/intersect_4_7</t>
  </si>
  <si>
    <t>examples/regex/regexlib/RegexIntersection/sat/intersect_6_8</t>
  </si>
  <si>
    <t>examples/regex/regexlib/RegexIntersection/sat/intersect_4_6</t>
  </si>
  <si>
    <t>examples/regex/regexlib/RegexIntersection/sat/intersect_0_0</t>
  </si>
  <si>
    <t>examples/regex/regexlib/RegexIntersection/sat/intersect_5_5</t>
  </si>
  <si>
    <t>examples/regex/regexlib/RegexIntersection/sat/intersect_0_9</t>
  </si>
  <si>
    <t>examples/regex/regexlib/RegexIntersection/unsat/intersect_1_6</t>
  </si>
  <si>
    <t>examples/regex/regexlib/RegexIntersection/unsat/intersect_3_8</t>
  </si>
  <si>
    <t>examples/regex/regexlib/RegexIntersection/unsat/intersect_0_5</t>
  </si>
  <si>
    <t>examples/regex/regexlib/RegexIntersection/unsat/intersect_5_9</t>
  </si>
  <si>
    <t>examples/regex/regexlib/RegexIntersection/unsat/intersect_5_8</t>
  </si>
  <si>
    <t>examples/regex/regexlib/RegexIntersection/unsat/intersect_2_3</t>
  </si>
  <si>
    <t>examples/regex/regexlib/RegexIntersection/unsat/intersect_1_7</t>
  </si>
  <si>
    <t>examples/regex/regexlib/RegexIntersection/unsat/intersect_3_9</t>
  </si>
  <si>
    <t>examples/regex/regexlib/RegexIntersection/unsat/intersect_2_8</t>
  </si>
  <si>
    <t>examples/regex/regexlib/RegexIntersection/unsat/intersect_1_4</t>
  </si>
  <si>
    <t>examples/regex/regexlib/RegexIntersection/unsat/intersect_2_9</t>
  </si>
  <si>
    <t>examples/regex/regexlib/RegexIntersection/unsat/intersect_0_2</t>
  </si>
  <si>
    <t>examples/regex/regexlib/RegexIntersection/unsat/intersect_1_8</t>
  </si>
  <si>
    <t>examples/regex/regexlib/RegexIntersection/unsat/intersect_3_6</t>
  </si>
  <si>
    <t>examples/regex/regexlib/RegexIntersection/unsat/intersect_5_7</t>
  </si>
  <si>
    <t>examples/regex/regexlib/RegexIntersection/unsat/intersect_2_5</t>
  </si>
  <si>
    <t>examples/regex/regexlib/RegexIntersection/unsat/intersect_5_6</t>
  </si>
  <si>
    <t>examples/regex/regexlib/RegexIntersection/unsat/intersect_2_4</t>
  </si>
  <si>
    <t>examples/regex/regexlib/RegexIntersection/unsat/intersect_4_5</t>
  </si>
  <si>
    <t>examples/regex/regexlib/RegexIntersection/unsat/intersect_0_3</t>
  </si>
  <si>
    <t>examples/regex/regexlib/RegexIntersection/unsat/intersect_1_9</t>
  </si>
  <si>
    <t>examples/regex/regexlib/RegexIntersection/unsat/intersect_3_7</t>
  </si>
  <si>
    <t>examples/regex/regexlib/RegexIntersection/unsat/intersect_2_6</t>
  </si>
  <si>
    <t>examples/regex/regexlib/RegexIntersection/unsat/intersect_1_2</t>
  </si>
  <si>
    <t>examples/regex/regexlib/RegexIntersection/unsat/intersect_3_5</t>
  </si>
  <si>
    <t>examples/regex/regexlib/RegexIntersection/unsat/intersect_0_1</t>
  </si>
  <si>
    <t>examples/regex/regexlib/RegexIntersection/unsat/intersect_3_4</t>
  </si>
  <si>
    <t>examples/regex/regexlib/RegexIntersection/unsat/intersect_2_7</t>
  </si>
  <si>
    <t>examples/regex/regexlib/RegexIntersection/unsat/intersect_1_3</t>
  </si>
  <si>
    <t>examples/regex/regexlib/RegexSubset/sat/notsubset_3_4</t>
  </si>
  <si>
    <t>examples/regex/regexlib/RegexSubset/sat/notsubset_8_5</t>
  </si>
  <si>
    <t>examples/regex/regexlib/RegexSubset/sat/notsubset_6_8</t>
  </si>
  <si>
    <t>examples/regex/regexlib/RegexSubset/sat/notsubset_4_6</t>
  </si>
  <si>
    <t>examples/regex/regexlib/RegexSubset/sat/notsubset_7_2</t>
  </si>
  <si>
    <t>examples/regex/regexlib/RegexSubset/sat/notsubset_0_9</t>
  </si>
  <si>
    <t>examples/regex/regexlib/RegexSubset/sat/notsubset_2_7</t>
  </si>
  <si>
    <t>examples/regex/regexlib/RegexSubset/sat/notsubset_1_3</t>
  </si>
  <si>
    <t>examples/regex/regexlib/RegexSubset/sat/notsubset_9_6</t>
  </si>
  <si>
    <t>examples/regex/regexlib/RegexSubset/sat/notsubset_6_1</t>
  </si>
  <si>
    <t>examples/regex/regexlib/RegexSubset/sat/notsubset_0_8</t>
  </si>
  <si>
    <t>examples/regex/regexlib/RegexSubset/sat/notsubset_2_6</t>
  </si>
  <si>
    <t>examples/regex/regexlib/RegexSubset/sat/notsubset_1_2</t>
  </si>
  <si>
    <t>examples/regex/regexlib/RegexSubset/sat/notsubset_9_7</t>
  </si>
  <si>
    <t>examples/regex/regexlib/RegexSubset/sat/notsubset_5_4</t>
  </si>
  <si>
    <t>examples/regex/regexlib/RegexSubset/sat/notsubset_6_0</t>
  </si>
  <si>
    <t>examples/regex/regexlib/RegexSubset/sat/notsubset_3_5</t>
  </si>
  <si>
    <t>examples/regex/regexlib/RegexSubset/sat/notsubset_0_1</t>
  </si>
  <si>
    <t>examples/regex/regexlib/RegexSubset/sat/notsubset_6_9</t>
  </si>
  <si>
    <t>examples/regex/regexlib/RegexSubset/sat/notsubset_4_7</t>
  </si>
  <si>
    <t>examples/regex/regexlib/RegexSubset/sat/notsubset_8_4</t>
  </si>
  <si>
    <t>examples/regex/regexlib/RegexSubset/sat/notsubset_7_3</t>
  </si>
  <si>
    <t>examples/regex/regexlib/RegexSubset/sat/notsubset_1_0</t>
  </si>
  <si>
    <t>examples/regex/regexlib/RegexSubset/sat/notsubset_2_4</t>
  </si>
  <si>
    <t>examples/regex/regexlib/RegexSubset/sat/notsubset_6_2</t>
  </si>
  <si>
    <t>examples/regex/regexlib/RegexSubset/sat/notsubset_9_5</t>
  </si>
  <si>
    <t>examples/regex/regexlib/RegexSubset/sat/notsubset_7_8</t>
  </si>
  <si>
    <t>examples/regex/regexlib/RegexSubset/sat/notsubset_5_6</t>
  </si>
  <si>
    <t>examples/regex/regexlib/RegexSubset/sat/notsubset_0_3</t>
  </si>
  <si>
    <t>examples/regex/regexlib/RegexSubset/sat/notsubset_1_9</t>
  </si>
  <si>
    <t>examples/regex/regexlib/RegexSubset/sat/notsubset_3_7</t>
  </si>
  <si>
    <t>examples/regex/regexlib/RegexSubset/sat/notsubset_7_1</t>
  </si>
  <si>
    <t>examples/regex/regexlib/RegexSubset/sat/notsubset_4_5</t>
  </si>
  <si>
    <t>examples/regex/regexlib/RegexSubset/sat/notsubset_8_6</t>
  </si>
  <si>
    <t>examples/regex/regexlib/RegexSubset/sat/notsubset_0_2</t>
  </si>
  <si>
    <t>examples/regex/regexlib/RegexSubset/sat/notsubset_1_8</t>
  </si>
  <si>
    <t>examples/regex/regexlib/RegexSubset/sat/notsubset_3_6</t>
  </si>
  <si>
    <t>examples/regex/regexlib/RegexSubset/sat/notsubset_7_0</t>
  </si>
  <si>
    <t>examples/regex/regexlib/RegexSubset/sat/notsubset_8_7</t>
  </si>
  <si>
    <t>examples/regex/regexlib/RegexSubset/sat/notsubset_2_5</t>
  </si>
  <si>
    <t>examples/regex/regexlib/RegexSubset/sat/notsubset_6_3</t>
  </si>
  <si>
    <t>examples/regex/regexlib/RegexSubset/sat/notsubset_7_9</t>
  </si>
  <si>
    <t>examples/regex/regexlib/RegexSubset/sat/notsubset_5_7</t>
  </si>
  <si>
    <t>examples/regex/regexlib/RegexSubset/sat/notsubset_9_4</t>
  </si>
  <si>
    <t>examples/regex/regexlib/RegexSubset/sat/notsubset_4_8</t>
  </si>
  <si>
    <t>examples/regex/regexlib/RegexSubset/sat/notsubset_5_2</t>
  </si>
  <si>
    <t>examples/regex/regexlib/RegexSubset/sat/notsubset_9_1</t>
  </si>
  <si>
    <t>examples/regex/regexlib/RegexSubset/sat/notsubset_1_4</t>
  </si>
  <si>
    <t>examples/regex/regexlib/RegexSubset/sat/notsubset_2_0</t>
  </si>
  <si>
    <t>examples/regex/regexlib/RegexSubset/sat/notsubset_7_5</t>
  </si>
  <si>
    <t>examples/regex/regexlib/RegexSubset/sat/notsubset_9_8</t>
  </si>
  <si>
    <t>examples/regex/regexlib/RegexSubset/sat/notsubset_8_2</t>
  </si>
  <si>
    <t>examples/regex/regexlib/RegexSubset/sat/notsubset_4_1</t>
  </si>
  <si>
    <t>examples/regex/regexlib/RegexSubset/sat/notsubset_0_7</t>
  </si>
  <si>
    <t>examples/regex/regexlib/RegexSubset/sat/notsubset_2_9</t>
  </si>
  <si>
    <t>examples/regex/regexlib/RegexSubset/sat/notsubset_7_4</t>
  </si>
  <si>
    <t>examples/regex/regexlib/RegexSubset/sat/notsubset_4_0</t>
  </si>
  <si>
    <t>examples/regex/regexlib/RegexSubset/sat/notsubset_8_3</t>
  </si>
  <si>
    <t>examples/regex/regexlib/RegexSubset/sat/notsubset_0_6</t>
  </si>
  <si>
    <t>examples/regex/regexlib/RegexSubset/sat/notsubset_2_8</t>
  </si>
  <si>
    <t>examples/regex/regexlib/RegexSubset/sat/notsubset_3_2</t>
  </si>
  <si>
    <t>examples/regex/regexlib/RegexSubset/sat/notsubset_6_7</t>
  </si>
  <si>
    <t>examples/regex/regexlib/RegexSubset/sat/notsubset_4_9</t>
  </si>
  <si>
    <t>examples/regex/regexlib/RegexSubset/sat/notsubset_9_0</t>
  </si>
  <si>
    <t>examples/regex/regexlib/RegexSubset/sat/notsubset_5_3</t>
  </si>
  <si>
    <t>examples/regex/regexlib/RegexSubset/sat/notsubset_1_5</t>
  </si>
  <si>
    <t>examples/regex/regexlib/RegexSubset/sat/notsubset_2_1</t>
  </si>
  <si>
    <t>examples/regex/regexlib/RegexSubset/sat/notsubset_4_2</t>
  </si>
  <si>
    <t>examples/regex/regexlib/RegexSubset/sat/notsubset_8_1</t>
  </si>
  <si>
    <t>examples/regex/regexlib/RegexSubset/sat/notsubset_7_6</t>
  </si>
  <si>
    <t>examples/regex/regexlib/RegexSubset/sat/notsubset_5_8</t>
  </si>
  <si>
    <t>examples/regex/regexlib/RegexSubset/sat/notsubset_3_0</t>
  </si>
  <si>
    <t>examples/regex/regexlib/RegexSubset/sat/notsubset_0_4</t>
  </si>
  <si>
    <t>examples/regex/regexlib/RegexSubset/sat/notsubset_9_2</t>
  </si>
  <si>
    <t>examples/regex/regexlib/RegexSubset/sat/notsubset_5_1</t>
  </si>
  <si>
    <t>examples/regex/regexlib/RegexSubset/sat/notsubset_6_5</t>
  </si>
  <si>
    <t>examples/regex/regexlib/RegexSubset/sat/notsubset_2_3</t>
  </si>
  <si>
    <t>examples/regex/regexlib/RegexSubset/sat/notsubset_1_7</t>
  </si>
  <si>
    <t>examples/regex/regexlib/RegexSubset/sat/notsubset_3_9</t>
  </si>
  <si>
    <t>examples/regex/regexlib/RegexSubset/sat/notsubset_5_0</t>
  </si>
  <si>
    <t>examples/regex/regexlib/RegexSubset/sat/notsubset_9_3</t>
  </si>
  <si>
    <t>examples/regex/regexlib/RegexSubset/sat/notsubset_8_9</t>
  </si>
  <si>
    <t>examples/regex/regexlib/RegexSubset/sat/notsubset_6_4</t>
  </si>
  <si>
    <t>examples/regex/regexlib/RegexSubset/sat/notsubset_1_6</t>
  </si>
  <si>
    <t>examples/regex/regexlib/RegexSubset/sat/notsubset_3_8</t>
  </si>
  <si>
    <t>examples/regex/regexlib/RegexSubset/sat/notsubset_8_0</t>
  </si>
  <si>
    <t>examples/regex/regexlib/RegexSubset/sat/notsubset_4_3</t>
  </si>
  <si>
    <t>examples/regex/regexlib/RegexSubset/sat/notsubset_5_9</t>
  </si>
  <si>
    <t>examples/regex/regexlib/RegexSubset/sat/notsubset_3_1</t>
  </si>
  <si>
    <t>examples/regex/regexlib/RegexSubset/sat/notsubset_0_5</t>
  </si>
  <si>
    <t>examples/regex/regexlib/RegexSubset/unsat/notsubset_0_0</t>
  </si>
  <si>
    <t>examples/regex/regexlib/RegexSubset/unsat/notsubset_5_5</t>
  </si>
  <si>
    <t>examples/regex/regexlib/RegexSubset/unsat/notsubset_4_4</t>
  </si>
  <si>
    <t>examples/regex/regexlib/RegexSubset/unsat/notsubset_1_1</t>
  </si>
  <si>
    <t>examples/regex/regexlib/RegexSubset/unsat/notsubset_6_6</t>
  </si>
  <si>
    <t>examples/regex/regexlib/RegexSubset/unsat/notsubset_3_3</t>
  </si>
  <si>
    <t>examples/regex/regexlib/RegexSubset/unsat/notsubset_9_9</t>
  </si>
  <si>
    <t>examples/regex/regexlib/RegexSubset/unsat/notsubset_8_8</t>
  </si>
  <si>
    <t>examples/regex/regexlib/RegexSubset/unsat/notsubset_2_2</t>
  </si>
  <si>
    <t>examples/regex/regexlib/RegexSubset/unsat/notsubset_7_7</t>
  </si>
  <si>
    <t>timeout</t>
  </si>
  <si>
    <t>time (bfgt)</t>
  </si>
  <si>
    <t>time (log)</t>
  </si>
  <si>
    <t>category</t>
  </si>
  <si>
    <t>&lt;-- include?</t>
  </si>
  <si>
    <t>examples/generated/unkrevcompleteacyclic_100</t>
  </si>
  <si>
    <t>examples/generated/unkrevcompleteacyclic_3</t>
  </si>
  <si>
    <t>examples/generated/bipartite_10_300</t>
  </si>
  <si>
    <t>examples/generated/revcompleteacyclic_3</t>
  </si>
  <si>
    <t>examples/generated/unkcompleteacyclic_10</t>
  </si>
  <si>
    <t>examples/generated/complete_10</t>
  </si>
  <si>
    <t>examples/generated/unkbipartite_300_10</t>
  </si>
  <si>
    <t>examples/generated/bipartite_1000_10</t>
  </si>
  <si>
    <t>examples/generated/complete_1000</t>
  </si>
  <si>
    <t>examples/generated/bipartite_10_10</t>
  </si>
  <si>
    <t>examples/generated/revcompleteacyclic_100</t>
  </si>
  <si>
    <t>examples/generated/unkbipartite_10_10</t>
  </si>
  <si>
    <t>examples/generated/unkcompleteacyclic_300</t>
  </si>
  <si>
    <t>examples/generated/unkloop_30000</t>
  </si>
  <si>
    <t>examples/generated/unkbipartite_3_10</t>
  </si>
  <si>
    <t>examples/generated/unkbipartite_10_1000</t>
  </si>
  <si>
    <t>examples/generated/unkbipartite_3_3</t>
  </si>
  <si>
    <t>examples/generated/bipartite_100_10</t>
  </si>
  <si>
    <t>examples/generated/loop_30000</t>
  </si>
  <si>
    <t>examples/generated/unkrevcompleteacyclic_10</t>
  </si>
  <si>
    <t>examples/generated/line_30000</t>
  </si>
  <si>
    <t>examples/generated/bipartite_10_1000</t>
  </si>
  <si>
    <t>examples/generated/unkbipartite_10_100</t>
  </si>
  <si>
    <t>examples/generated/completeacyclic_10</t>
  </si>
  <si>
    <t>examples/generated/unkbipartite_30_30</t>
  </si>
  <si>
    <t>examples/generated/unkline_30000</t>
  </si>
  <si>
    <t>examples/generated/unkcomplete_1000</t>
  </si>
  <si>
    <t>examples/generated/revcompleteacyclic_10</t>
  </si>
  <si>
    <t>examples/generated/bipartite_30_30</t>
  </si>
  <si>
    <t>examples/generated/complete_100</t>
  </si>
  <si>
    <t>examples/generated/unkbipartite_1000_10</t>
  </si>
  <si>
    <t>examples/generated/completeacyclic_300</t>
  </si>
  <si>
    <t>examples/generated/unkbipartite_10_3</t>
  </si>
  <si>
    <t>examples/generated/unkcomplete_300</t>
  </si>
  <si>
    <t>examples/generated/reverseunkline_100000</t>
  </si>
  <si>
    <t>examples/generated/bipartite_3_3</t>
  </si>
  <si>
    <t>examples/generated/unkcomplete_10</t>
  </si>
  <si>
    <t>examples/generated/reverseunkloop_100000</t>
  </si>
  <si>
    <t>examples/generated/reverseloop_30000</t>
  </si>
  <si>
    <t>examples/generated/unkbipartite_300_300</t>
  </si>
  <si>
    <t>examples/generated/loop_100000</t>
  </si>
  <si>
    <t>examples/generated/unkrevcompleteacyclic_300</t>
  </si>
  <si>
    <t>examples/generated/bipartite_10_100</t>
  </si>
  <si>
    <t>examples/generated/line_100000</t>
  </si>
  <si>
    <t>examples/generated/reverseunkloop_30000</t>
  </si>
  <si>
    <t>examples/generated/unkbipartite_10_30</t>
  </si>
  <si>
    <t>examples/generated/bipartite_3_10</t>
  </si>
  <si>
    <t>examples/generated/unkrevcompleteacyclic_1000</t>
  </si>
  <si>
    <t>examples/generated/revcompleteacyclic_300</t>
  </si>
  <si>
    <t>examples/generated/unkcompleteacyclic_100</t>
  </si>
  <si>
    <t>examples/generated/unkcomplete_3</t>
  </si>
  <si>
    <t>examples/generated/reverseloop_100000</t>
  </si>
  <si>
    <t>examples/generated/completeacyclic_3</t>
  </si>
  <si>
    <t>examples/generated/bipartite_100_100</t>
  </si>
  <si>
    <t>examples/generated/reverseline_100000</t>
  </si>
  <si>
    <t>examples/generated/bipartite_10_30</t>
  </si>
  <si>
    <t>examples/generated/unkcompleteacyclic_30</t>
  </si>
  <si>
    <t>examples/generated/complete_30</t>
  </si>
  <si>
    <t>examples/generated/revcompleteacyclic_1000</t>
  </si>
  <si>
    <t>examples/generated/complete_3</t>
  </si>
  <si>
    <t>examples/generated/bipartite_1000_1000</t>
  </si>
  <si>
    <t>examples/generated/unkcomplete_30</t>
  </si>
  <si>
    <t>examples/generated/bipartite_300_10</t>
  </si>
  <si>
    <t>examples/generated/unkbipartite_100_100</t>
  </si>
  <si>
    <t>examples/generated/bipartite_10_3</t>
  </si>
  <si>
    <t>examples/generated/bipartite_30_10</t>
  </si>
  <si>
    <t>examples/generated/unkbipartite_10_300</t>
  </si>
  <si>
    <t>examples/generated/unkcompleteacyclic_3</t>
  </si>
  <si>
    <t>examples/generated/completeacyclic_30</t>
  </si>
  <si>
    <t>examples/generated/unkbipartite_30_10</t>
  </si>
  <si>
    <t>examples/generated/complete_300</t>
  </si>
  <si>
    <t>examples/generated/completeacyclic_100</t>
  </si>
  <si>
    <t>examples/generated/unkbipartite_100_10</t>
  </si>
  <si>
    <t>examples/generated/reverseunkline_30000</t>
  </si>
  <si>
    <t>examples/generated/revcompleteacyclic_30</t>
  </si>
  <si>
    <t>examples/generated/unkcompleteacyclic_1000</t>
  </si>
  <si>
    <t>examples/generated/unkrevcompleteacyclic_30</t>
  </si>
  <si>
    <t>examples/generated/unkloop_100000</t>
  </si>
  <si>
    <t>examples/generated/completeacyclic_1000</t>
  </si>
  <si>
    <t>examples/generated/bipartite_300_300</t>
  </si>
  <si>
    <t>examples/generated/unkbipartite_1000_1000</t>
  </si>
  <si>
    <t>examples/generated/reverseline_30000</t>
  </si>
  <si>
    <t>examples/generated/unkcomplete_100</t>
  </si>
  <si>
    <t>examples/generated/unkline_100000</t>
  </si>
  <si>
    <t>examples/handwritten/23</t>
  </si>
  <si>
    <t>examples/handwritten/22</t>
  </si>
  <si>
    <t>examples/handwritten/21</t>
  </si>
  <si>
    <t>examples/handwritten/24</t>
  </si>
  <si>
    <t>examples/handwritten/25</t>
  </si>
  <si>
    <t>examples/random/sparse_30000_1_9</t>
  </si>
  <si>
    <t>examples/random/sparse_10_2_7</t>
  </si>
  <si>
    <t>examples/random/sparse_100_10_8</t>
  </si>
  <si>
    <t>examples/random/sparse_30000_3_7</t>
  </si>
  <si>
    <t>examples/random/dense_3000_3_1</t>
  </si>
  <si>
    <t>examples/random/dense_30_2_3</t>
  </si>
  <si>
    <t>examples/random/sparse_100_2_3</t>
  </si>
  <si>
    <t>examples/random/sparse_10000_3_3</t>
  </si>
  <si>
    <t>examples/random/dense_30_1_7</t>
  </si>
  <si>
    <t>examples/random/sparse_100_1_7</t>
  </si>
  <si>
    <t>examples/random/dense_300_1_10</t>
  </si>
  <si>
    <t>examples/random/sparse_10000_2_9</t>
  </si>
  <si>
    <t>examples/random/dense_30_3_9</t>
  </si>
  <si>
    <t>examples/random/sparse_100_3_9</t>
  </si>
  <si>
    <t>examples/random/sparse_10_1_3</t>
  </si>
  <si>
    <t>examples/random/sparse_100000_10_6</t>
  </si>
  <si>
    <t>examples/random/dense_1000_1_4</t>
  </si>
  <si>
    <t>examples/random/sparse_300_3_4</t>
  </si>
  <si>
    <t>examples/random/sparse_300_10_3</t>
  </si>
  <si>
    <t>examples/random/sparse_30_10_6</t>
  </si>
  <si>
    <t>examples/random/dense_300_1_2</t>
  </si>
  <si>
    <t>examples/random/sparse_3000_3_1</t>
  </si>
  <si>
    <t>examples/random/sparse_100000_2_4</t>
  </si>
  <si>
    <t>examples/random/dense_100_3_1</t>
  </si>
  <si>
    <t>examples/random/sparse_1000_10_1</t>
  </si>
  <si>
    <t>examples/random/dense_10000_2_4</t>
  </si>
  <si>
    <t>examples/random/sparse_30_3_1</t>
  </si>
  <si>
    <t>examples/random/sparse_300_1_10</t>
  </si>
  <si>
    <t>examples/random/dense_300_2_6</t>
  </si>
  <si>
    <t>examples/random/dense_10_1_10</t>
  </si>
  <si>
    <t>examples/random/sparse_3000_10_5</t>
  </si>
  <si>
    <t>examples/random/sparse_1000_1_4</t>
  </si>
  <si>
    <t>examples/random/dense_10_3_5</t>
  </si>
  <si>
    <t>examples/random/sparse_30000_2_4</t>
  </si>
  <si>
    <t>examples/random/dense_3000_2_2</t>
  </si>
  <si>
    <t>examples/random/sparse_300_1_3</t>
  </si>
  <si>
    <t>examples/random/sparse_10_3_4</t>
  </si>
  <si>
    <t>examples/random/dense_1000_3_3</t>
  </si>
  <si>
    <t>examples/random/sparse_10000_10_5</t>
  </si>
  <si>
    <t>examples/random/dense_3000_1_6</t>
  </si>
  <si>
    <t>examples/random/dense_1000_2_9</t>
  </si>
  <si>
    <t>examples/random/sparse_300_2_7</t>
  </si>
  <si>
    <t>examples/random/sparse_100_10_1</t>
  </si>
  <si>
    <t>examples/random/sparse_30000_10_2</t>
  </si>
  <si>
    <t>examples/random/dense_3000_3_8</t>
  </si>
  <si>
    <t>examples/random/sparse_10000_1_4</t>
  </si>
  <si>
    <t>examples/random/sparse_30_2_10</t>
  </si>
  <si>
    <t>examples/random/sparse_1000_10_8</t>
  </si>
  <si>
    <t>examples/random/dense_100_2_2</t>
  </si>
  <si>
    <t>examples/random/sparse_30_1_6</t>
  </si>
  <si>
    <t>examples/random/sparse_30_3_8</t>
  </si>
  <si>
    <t>examples/random/sparse_100000_2_10</t>
  </si>
  <si>
    <t>examples/random/sparse_1000_3_3</t>
  </si>
  <si>
    <t>examples/random/dense_10_1_2</t>
  </si>
  <si>
    <t>examples/random/sparse_100000_1_9</t>
  </si>
  <si>
    <t>examples/random/sparse_100000_3_7</t>
  </si>
  <si>
    <t>examples/random/sparse_3000_2_2</t>
  </si>
  <si>
    <t>examples/random/dense_10_2_6</t>
  </si>
  <si>
    <t>examples/random/sparse_3000_3_8</t>
  </si>
  <si>
    <t>examples/random/sparse_3000_1_6</t>
  </si>
  <si>
    <t>examples/random/dense_300_3_5</t>
  </si>
  <si>
    <t>examples/random/sparse_1000_2_9</t>
  </si>
  <si>
    <t>examples/random/dense_10000_1_9</t>
  </si>
  <si>
    <t>examples/random/dense_100_1_6</t>
  </si>
  <si>
    <t>examples/random/sparse_10_10_2</t>
  </si>
  <si>
    <t>examples/random/sparse_30_2_2</t>
  </si>
  <si>
    <t>examples/random/dense_100_3_8</t>
  </si>
  <si>
    <t>examples/random/dense_10000_3_7</t>
  </si>
  <si>
    <t>examples/random/sparse_300_1_2</t>
  </si>
  <si>
    <t>examples/random/sparse_30000_2_5</t>
  </si>
  <si>
    <t>examples/random/dense_3000_2_3</t>
  </si>
  <si>
    <t>examples/random/dense_1000_3_2</t>
  </si>
  <si>
    <t>examples/random/sparse_10_3_5</t>
  </si>
  <si>
    <t>examples/random/sparse_10000_2_1</t>
  </si>
  <si>
    <t>examples/random/dense_30_3_1</t>
  </si>
  <si>
    <t>examples/random/sparse_100_3_1</t>
  </si>
  <si>
    <t>examples/random/sparse_10000_1_5</t>
  </si>
  <si>
    <t>examples/random/sparse_10_1_10</t>
  </si>
  <si>
    <t>examples/random/sparse_300_2_6</t>
  </si>
  <si>
    <t>examples/random/dense_1000_2_8</t>
  </si>
  <si>
    <t>examples/random/sparse_30000_1_1</t>
  </si>
  <si>
    <t>examples/random/dense_3000_1_7</t>
  </si>
  <si>
    <t>examples/random/sparse_10000_10_4</t>
  </si>
  <si>
    <t>examples/random/dense_3000_3_9</t>
  </si>
  <si>
    <t>examples/random/sparse_30000_10_3</t>
  </si>
  <si>
    <t>examples/random/sparse_100000_1_8</t>
  </si>
  <si>
    <t>examples/random/dense_10_1_3</t>
  </si>
  <si>
    <t>examples/random/sparse_1000_3_2</t>
  </si>
  <si>
    <t>examples/random/sparse_3000_2_3</t>
  </si>
  <si>
    <t>examples/random/sparse_100000_3_6</t>
  </si>
  <si>
    <t>examples/random/sparse_30_1_7</t>
  </si>
  <si>
    <t>examples/random/dense_100_2_3</t>
  </si>
  <si>
    <t>examples/random/sparse_1000_10_9</t>
  </si>
  <si>
    <t>examples/random/sparse_1000_3_10</t>
  </si>
  <si>
    <t>examples/random/sparse_30_3_9</t>
  </si>
  <si>
    <t>examples/random/sparse_30_2_3</t>
  </si>
  <si>
    <t>examples/random/sparse_10_10_3</t>
  </si>
  <si>
    <t>examples/random/dense_100_1_7</t>
  </si>
  <si>
    <t>examples/random/dense_10000_1_8</t>
  </si>
  <si>
    <t>examples/random/sparse_30000_1_10</t>
  </si>
  <si>
    <t>examples/random/dense_10000_3_6</t>
  </si>
  <si>
    <t>examples/random/dense_100_3_9</t>
  </si>
  <si>
    <t>examples/random/dense_10000_2_10</t>
  </si>
  <si>
    <t>examples/random/sparse_3000_3_9</t>
  </si>
  <si>
    <t>examples/random/dense_10_2_7</t>
  </si>
  <si>
    <t>examples/random/sparse_1000_2_8</t>
  </si>
  <si>
    <t>examples/random/sparse_10000_10_10</t>
  </si>
  <si>
    <t>examples/random/dense_300_3_4</t>
  </si>
  <si>
    <t>examples/random/sparse_3000_1_7</t>
  </si>
  <si>
    <t>examples/random/dense_30_2_2</t>
  </si>
  <si>
    <t>examples/random/sparse_100_2_2</t>
  </si>
  <si>
    <t>examples/random/sparse_10000_3_2</t>
  </si>
  <si>
    <t>examples/random/dense_1000_2_1</t>
  </si>
  <si>
    <t>examples/random/sparse_100_3_10</t>
  </si>
  <si>
    <t>examples/random/sparse_10_2_6</t>
  </si>
  <si>
    <t>examples/random/sparse_30000_1_8</t>
  </si>
  <si>
    <t>examples/random/sparse_30000_3_6</t>
  </si>
  <si>
    <t>examples/random/sparse_100_10_9</t>
  </si>
  <si>
    <t>examples/random/dense_1000_1_5</t>
  </si>
  <si>
    <t>examples/random/sparse_100000_10_7</t>
  </si>
  <si>
    <t>examples/random/sparse_10_1_2</t>
  </si>
  <si>
    <t>examples/random/sparse_300_10_2</t>
  </si>
  <si>
    <t>examples/random/dense_3000_3_10</t>
  </si>
  <si>
    <t>examples/random/sparse_300_3_5</t>
  </si>
  <si>
    <t>examples/random/sparse_10000_2_8</t>
  </si>
  <si>
    <t>examples/random/dense_30_1_6</t>
  </si>
  <si>
    <t>examples/random/sparse_100_1_6</t>
  </si>
  <si>
    <t>examples/random/dense_30_3_8</t>
  </si>
  <si>
    <t>examples/random/sparse_100_3_8</t>
  </si>
  <si>
    <t>examples/random/dense_10000_1_1</t>
  </si>
  <si>
    <t>examples/random/sparse_100000_2_5</t>
  </si>
  <si>
    <t>examples/random/dense_300_1_3</t>
  </si>
  <si>
    <t>examples/random/sparse_30_10_7</t>
  </si>
  <si>
    <t>examples/random/dense_100_3_10</t>
  </si>
  <si>
    <t>examples/random/sparse_1000_2_1</t>
  </si>
  <si>
    <t>examples/random/sparse_3000_10_4</t>
  </si>
  <si>
    <t>examples/random/sparse_100000_1_1</t>
  </si>
  <si>
    <t>examples/random/dense_300_2_7</t>
  </si>
  <si>
    <t>examples/random/dense_10_3_4</t>
  </si>
  <si>
    <t>examples/random/sparse_1000_1_5</t>
  </si>
  <si>
    <t>examples/random/dense_10000_2_5</t>
  </si>
  <si>
    <t>examples/random/dense_30_2_10</t>
  </si>
  <si>
    <t>examples/random/sparse_10000_3_9</t>
  </si>
  <si>
    <t>examples/random/sparse_100_2_9</t>
  </si>
  <si>
    <t>examples/random/dense_30_2_9</t>
  </si>
  <si>
    <t>examples/random/sparse_10000_1_7</t>
  </si>
  <si>
    <t>examples/random/sparse_30000_10_1</t>
  </si>
  <si>
    <t>examples/random/sparse_100_10_2</t>
  </si>
  <si>
    <t>examples/random/sparse_10000_10_6</t>
  </si>
  <si>
    <t>examples/random/dense_3000_1_5</t>
  </si>
  <si>
    <t>examples/random/sparse_30000_1_3</t>
  </si>
  <si>
    <t>examples/random/sparse_300_2_4</t>
  </si>
  <si>
    <t>examples/random/sparse_10_3_7</t>
  </si>
  <si>
    <t>examples/random/sparse_300_10_9</t>
  </si>
  <si>
    <t>examples/random/sparse_300_3_10</t>
  </si>
  <si>
    <t>examples/random/dense_3000_2_1</t>
  </si>
  <si>
    <t>examples/random/sparse_30000_2_7</t>
  </si>
  <si>
    <t>examples/random/sparse_10_1_9</t>
  </si>
  <si>
    <t>examples/random/sparse_3000_2_10</t>
  </si>
  <si>
    <t>examples/random/dense_10_3_10</t>
  </si>
  <si>
    <t>examples/random/sparse_100_3_3</t>
  </si>
  <si>
    <t>examples/random/dense_30_3_3</t>
  </si>
  <si>
    <t>examples/random/sparse_10000_2_3</t>
  </si>
  <si>
    <t>examples/random/dense_10000_3_4</t>
  </si>
  <si>
    <t>examples/random/dense_100_1_5</t>
  </si>
  <si>
    <t>examples/random/sparse_10_10_1</t>
  </si>
  <si>
    <t>examples/random/sparse_30_2_1</t>
  </si>
  <si>
    <t>examples/random/sparse_3000_1_5</t>
  </si>
  <si>
    <t>examples/random/dense_300_3_6</t>
  </si>
  <si>
    <t>examples/random/dense_300_1_8</t>
  </si>
  <si>
    <t>examples/random/dense_10_2_5</t>
  </si>
  <si>
    <t>examples/random/sparse_3000_2_1</t>
  </si>
  <si>
    <t>examples/random/sparse_100000_3_4</t>
  </si>
  <si>
    <t>examples/random/dense_300_3_10</t>
  </si>
  <si>
    <t>examples/random/dense_10_1_1</t>
  </si>
  <si>
    <t>examples/random/dense_100_2_1</t>
  </si>
  <si>
    <t>examples/random/sparse_30_1_5</t>
  </si>
  <si>
    <t>examples/random/dense_1000_3_9</t>
  </si>
  <si>
    <t>examples/random/sparse_300_3_7</t>
  </si>
  <si>
    <t>examples/random/dense_3000_2_8</t>
  </si>
  <si>
    <t>examples/random/sparse_100000_10_5</t>
  </si>
  <si>
    <t>examples/random/sparse_300_1_9</t>
  </si>
  <si>
    <t>examples/random/dense_1000_1_7</t>
  </si>
  <si>
    <t>examples/random/sparse_100_1_4</t>
  </si>
  <si>
    <t>examples/random/dense_30_1_4</t>
  </si>
  <si>
    <t>examples/random/sparse_30000_10_8</t>
  </si>
  <si>
    <t>examples/random/dense_3000_3_2</t>
  </si>
  <si>
    <t>examples/random/sparse_30000_3_4</t>
  </si>
  <si>
    <t>examples/random/sparse_10_2_4</t>
  </si>
  <si>
    <t>examples/random/dense_1000_2_3</t>
  </si>
  <si>
    <t>examples/random/sparse_3000_2_8</t>
  </si>
  <si>
    <t>examples/random/sparse_1000_1_7</t>
  </si>
  <si>
    <t>examples/random/dense_10_3_6</t>
  </si>
  <si>
    <t>examples/random/dense_1000_2_10</t>
  </si>
  <si>
    <t>examples/random/dense_300_2_5</t>
  </si>
  <si>
    <t>examples/random/dense_10_1_8</t>
  </si>
  <si>
    <t>examples/random/sparse_1000_3_9</t>
  </si>
  <si>
    <t>examples/random/sparse_100000_1_3</t>
  </si>
  <si>
    <t>examples/random/sparse_3000_10_6</t>
  </si>
  <si>
    <t>examples/random/sparse_30_3_2</t>
  </si>
  <si>
    <t>examples/random/sparse_1000_10_2</t>
  </si>
  <si>
    <t>examples/random/dense_100_2_8</t>
  </si>
  <si>
    <t>examples/random/dense_10000_2_7</t>
  </si>
  <si>
    <t>examples/random/dense_100_3_2</t>
  </si>
  <si>
    <t>examples/random/sparse_10000_2_10</t>
  </si>
  <si>
    <t>examples/random/sparse_30_2_8</t>
  </si>
  <si>
    <t>examples/random/sparse_10_10_8</t>
  </si>
  <si>
    <t>examples/random/dense_10000_1_3</t>
  </si>
  <si>
    <t>examples/random/sparse_1000_2_3</t>
  </si>
  <si>
    <t>examples/random/sparse_30_10_5</t>
  </si>
  <si>
    <t>examples/random/dense_300_1_1</t>
  </si>
  <si>
    <t>examples/random/sparse_100000_2_7</t>
  </si>
  <si>
    <t>examples/random/sparse_3000_3_2</t>
  </si>
  <si>
    <t>examples/random/sparse_100_1_5</t>
  </si>
  <si>
    <t>examples/random/dense_30_1_5</t>
  </si>
  <si>
    <t>examples/random/sparse_300_10_1</t>
  </si>
  <si>
    <t>examples/random/sparse_300_3_6</t>
  </si>
  <si>
    <t>examples/random/dense_1000_3_8</t>
  </si>
  <si>
    <t>examples/random/dense_1000_1_6</t>
  </si>
  <si>
    <t>examples/random/sparse_300_1_8</t>
  </si>
  <si>
    <t>examples/random/sparse_10_1_1</t>
  </si>
  <si>
    <t>examples/random/sparse_100000_10_4</t>
  </si>
  <si>
    <t>examples/random/dense_3000_2_9</t>
  </si>
  <si>
    <t>examples/random/sparse_1000_1_10</t>
  </si>
  <si>
    <t>examples/random/dense_3000_3_3</t>
  </si>
  <si>
    <t>examples/random/sparse_30000_3_5</t>
  </si>
  <si>
    <t>examples/random/sparse_30000_10_9</t>
  </si>
  <si>
    <t>examples/random/dense_1000_2_2</t>
  </si>
  <si>
    <t>examples/random/sparse_10_2_5</t>
  </si>
  <si>
    <t>examples/random/sparse_30000_3_10</t>
  </si>
  <si>
    <t>examples/random/sparse_10000_3_1</t>
  </si>
  <si>
    <t>examples/random/sparse_100_2_1</t>
  </si>
  <si>
    <t>examples/random/dense_30_2_1</t>
  </si>
  <si>
    <t>examples/random/sparse_30_3_3</t>
  </si>
  <si>
    <t>examples/random/dense_10000_2_6</t>
  </si>
  <si>
    <t>examples/random/dense_100_2_9</t>
  </si>
  <si>
    <t>examples/random/sparse_1000_10_3</t>
  </si>
  <si>
    <t>examples/random/dense_10_3_7</t>
  </si>
  <si>
    <t>examples/random/sparse_1000_1_6</t>
  </si>
  <si>
    <t>examples/random/sparse_3000_2_9</t>
  </si>
  <si>
    <t>examples/random/sparse_1000_10_10</t>
  </si>
  <si>
    <t>examples/random/sparse_3000_10_7</t>
  </si>
  <si>
    <t>examples/random/sparse_100000_1_2</t>
  </si>
  <si>
    <t>examples/random/sparse_1000_3_8</t>
  </si>
  <si>
    <t>examples/random/dense_10_1_9</t>
  </si>
  <si>
    <t>examples/random/dense_300_2_4</t>
  </si>
  <si>
    <t>examples/random/sparse_1000_2_2</t>
  </si>
  <si>
    <t>examples/random/sparse_3000_3_3</t>
  </si>
  <si>
    <t>examples/random/sparse_100000_2_6</t>
  </si>
  <si>
    <t>examples/random/sparse_30_10_4</t>
  </si>
  <si>
    <t>examples/random/sparse_30000_10_10</t>
  </si>
  <si>
    <t>examples/random/dense_100_3_3</t>
  </si>
  <si>
    <t>examples/random/sparse_10_3_10</t>
  </si>
  <si>
    <t>examples/random/dense_10000_1_2</t>
  </si>
  <si>
    <t>examples/random/sparse_10_10_9</t>
  </si>
  <si>
    <t>examples/random/sparse_30_2_9</t>
  </si>
  <si>
    <t>examples/random/sparse_300_10_10</t>
  </si>
  <si>
    <t>examples/random/sparse_100_10_3</t>
  </si>
  <si>
    <t>examples/random/sparse_300_2_5</t>
  </si>
  <si>
    <t>examples/random/dense_3000_1_4</t>
  </si>
  <si>
    <t>examples/random/sparse_30000_1_2</t>
  </si>
  <si>
    <t>examples/random/sparse_10000_10_7</t>
  </si>
  <si>
    <t>examples/random/sparse_10000_3_8</t>
  </si>
  <si>
    <t>examples/random/sparse_10000_1_6</t>
  </si>
  <si>
    <t>examples/random/sparse_100_2_8</t>
  </si>
  <si>
    <t>examples/random/dense_30_2_8</t>
  </si>
  <si>
    <t>examples/random/dense_100_1_10</t>
  </si>
  <si>
    <t>examples/random/sparse_100_3_2</t>
  </si>
  <si>
    <t>examples/random/dense_30_3_2</t>
  </si>
  <si>
    <t>examples/random/sparse_10000_2_2</t>
  </si>
  <si>
    <t>examples/random/sparse_300_10_8</t>
  </si>
  <si>
    <t>examples/random/dense_1000_3_1</t>
  </si>
  <si>
    <t>examples/random/sparse_10_3_6</t>
  </si>
  <si>
    <t>examples/random/sparse_10_1_8</t>
  </si>
  <si>
    <t>examples/random/sparse_300_1_1</t>
  </si>
  <si>
    <t>examples/random/sparse_30000_2_6</t>
  </si>
  <si>
    <t>examples/random/dense_300_3_7</t>
  </si>
  <si>
    <t>examples/random/sparse_3000_1_4</t>
  </si>
  <si>
    <t>examples/random/dense_10_2_4</t>
  </si>
  <si>
    <t>examples/random/dense_300_1_9</t>
  </si>
  <si>
    <t>examples/random/sparse_100_1_10</t>
  </si>
  <si>
    <t>examples/random/dense_10000_3_5</t>
  </si>
  <si>
    <t>examples/random/dense_100_1_4</t>
  </si>
  <si>
    <t>examples/random/sparse_30_1_4</t>
  </si>
  <si>
    <t>examples/random/dense_3000_1_10</t>
  </si>
  <si>
    <t>examples/random/sparse_100000_3_5</t>
  </si>
  <si>
    <t>examples/random/sparse_1000_3_1</t>
  </si>
  <si>
    <t>examples/random/sparse_100000_10_10</t>
  </si>
  <si>
    <t>examples/random/dense_10_2_1</t>
  </si>
  <si>
    <t>examples/random/sparse_30_10_8</t>
  </si>
  <si>
    <t>examples/random/dense_300_3_2</t>
  </si>
  <si>
    <t>examples/random/sparse_3000_1_1</t>
  </si>
  <si>
    <t>examples/random/sparse_10_10_5</t>
  </si>
  <si>
    <t>examples/random/dense_100_1_1</t>
  </si>
  <si>
    <t>examples/random/sparse_30_2_5</t>
  </si>
  <si>
    <t>examples/random/dense_100_2_5</t>
  </si>
  <si>
    <t>examples/random/sparse_30_1_1</t>
  </si>
  <si>
    <t>examples/random/sparse_1000_3_4</t>
  </si>
  <si>
    <t>examples/random/dense_10_1_5</t>
  </si>
  <si>
    <t>examples/random/dense_300_2_8</t>
  </si>
  <si>
    <t>examples/random/sparse_3000_2_5</t>
  </si>
  <si>
    <t>examples/random/sparse_10_2_9</t>
  </si>
  <si>
    <t>examples/random/sparse_10000_10_2</t>
  </si>
  <si>
    <t>examples/random/sparse_30000_1_7</t>
  </si>
  <si>
    <t>examples/random/dense_3000_1_1</t>
  </si>
  <si>
    <t>examples/random/sparse_30000_3_9</t>
  </si>
  <si>
    <t>examples/random/sparse_100_10_6</t>
  </si>
  <si>
    <t>examples/random/sparse_30000_10_5</t>
  </si>
  <si>
    <t>examples/random/dense_10000_3_10</t>
  </si>
  <si>
    <t>examples/random/sparse_10000_1_3</t>
  </si>
  <si>
    <t>examples/random/sparse_10000_2_7</t>
  </si>
  <si>
    <t>examples/random/dense_30_1_9</t>
  </si>
  <si>
    <t>examples/random/sparse_100_1_9</t>
  </si>
  <si>
    <t>examples/random/dense_30_3_7</t>
  </si>
  <si>
    <t>examples/random/sparse_100_3_7</t>
  </si>
  <si>
    <t>examples/random/sparse_300_1_4</t>
  </si>
  <si>
    <t>examples/random/sparse_100000_10_8</t>
  </si>
  <si>
    <t>examples/random/sparse_30000_2_3</t>
  </si>
  <si>
    <t>examples/random/dense_3000_2_5</t>
  </si>
  <si>
    <t>examples/random/sparse_1000_2_10</t>
  </si>
  <si>
    <t>examples/random/sparse_10_3_3</t>
  </si>
  <si>
    <t>examples/random/dense_1000_3_4</t>
  </si>
  <si>
    <t>examples/random/sparse_30_1_8</t>
  </si>
  <si>
    <t>examples/random/dense_10000_2_3</t>
  </si>
  <si>
    <t>examples/random/sparse_1000_10_6</t>
  </si>
  <si>
    <t>examples/random/sparse_30_3_6</t>
  </si>
  <si>
    <t>examples/random/dense_3000_2_10</t>
  </si>
  <si>
    <t>examples/random/sparse_100000_1_7</t>
  </si>
  <si>
    <t>examples/random/sparse_3000_10_2</t>
  </si>
  <si>
    <t>examples/random/dense_300_2_1</t>
  </si>
  <si>
    <t>examples/random/sparse_1000_1_3</t>
  </si>
  <si>
    <t>examples/random/dense_10_3_2</t>
  </si>
  <si>
    <t>examples/random/sparse_100000_3_9</t>
  </si>
  <si>
    <t>examples/random/sparse_3000_3_6</t>
  </si>
  <si>
    <t>examples/random/sparse_100000_2_3</t>
  </si>
  <si>
    <t>examples/random/dense_10_2_8</t>
  </si>
  <si>
    <t>examples/random/dense_300_1_5</t>
  </si>
  <si>
    <t>examples/random/sparse_30_10_1</t>
  </si>
  <si>
    <t>examples/random/sparse_1000_2_7</t>
  </si>
  <si>
    <t>examples/random/sparse_3000_1_8</t>
  </si>
  <si>
    <t>examples/random/sparse_100_2_10</t>
  </si>
  <si>
    <t>examples/random/dense_10000_1_7</t>
  </si>
  <si>
    <t>examples/random/dense_100_1_8</t>
  </si>
  <si>
    <t>examples/random/dense_100_3_6</t>
  </si>
  <si>
    <t>examples/random/dense_10000_3_9</t>
  </si>
  <si>
    <t>examples/random/sparse_10_1_4</t>
  </si>
  <si>
    <t>examples/random/sparse_100000_10_1</t>
  </si>
  <si>
    <t>examples/random/dense_1000_1_3</t>
  </si>
  <si>
    <t>examples/random/sparse_300_10_4</t>
  </si>
  <si>
    <t>examples/random/sparse_300_3_3</t>
  </si>
  <si>
    <t>examples/random/dense_30_3_10</t>
  </si>
  <si>
    <t>examples/random/dense_1000_2_7</t>
  </si>
  <si>
    <t>examples/random/sparse_300_2_9</t>
  </si>
  <si>
    <t>examples/random/dense_3000_1_8</t>
  </si>
  <si>
    <t>examples/random/dense_3000_3_6</t>
  </si>
  <si>
    <t>examples/random/dense_30_2_4</t>
  </si>
  <si>
    <t>examples/random/sparse_100_2_4</t>
  </si>
  <si>
    <t>examples/random/dense_100_2_10</t>
  </si>
  <si>
    <t>examples/random/sparse_10000_3_4</t>
  </si>
  <si>
    <t>examples/random/sparse_10_10_10</t>
  </si>
  <si>
    <t>examples/random/sparse_3000_10_3</t>
  </si>
  <si>
    <t>examples/random/sparse_100000_1_6</t>
  </si>
  <si>
    <t>examples/random/sparse_100000_3_8</t>
  </si>
  <si>
    <t>examples/random/dense_10_3_3</t>
  </si>
  <si>
    <t>examples/random/sparse_1000_1_2</t>
  </si>
  <si>
    <t>examples/random/sparse_1000_10_7</t>
  </si>
  <si>
    <t>examples/random/dense_10000_2_2</t>
  </si>
  <si>
    <t>examples/random/sparse_30_1_9</t>
  </si>
  <si>
    <t>examples/random/sparse_30_3_7</t>
  </si>
  <si>
    <t>examples/random/dense_100_1_9</t>
  </si>
  <si>
    <t>examples/random/dense_10000_1_6</t>
  </si>
  <si>
    <t>examples/random/dense_10000_3_8</t>
  </si>
  <si>
    <t>examples/random/dense_100_3_7</t>
  </si>
  <si>
    <t>examples/random/dense_300_1_4</t>
  </si>
  <si>
    <t>examples/random/dense_10_2_9</t>
  </si>
  <si>
    <t>examples/random/sparse_100000_2_2</t>
  </si>
  <si>
    <t>examples/random/sparse_3000_3_7</t>
  </si>
  <si>
    <t>examples/random/sparse_3000_1_9</t>
  </si>
  <si>
    <t>examples/random/sparse_1000_2_6</t>
  </si>
  <si>
    <t>examples/random/dense_1000_1_2</t>
  </si>
  <si>
    <t>examples/random/sparse_10_1_5</t>
  </si>
  <si>
    <t>examples/random/sparse_300_3_2</t>
  </si>
  <si>
    <t>examples/random/sparse_300_10_5</t>
  </si>
  <si>
    <t>examples/random/dense_30_1_1</t>
  </si>
  <si>
    <t>examples/random/sparse_100_1_1</t>
  </si>
  <si>
    <t>examples/random/sparse_3000_1_10</t>
  </si>
  <si>
    <t>examples/random/dense_30_2_5</t>
  </si>
  <si>
    <t>examples/random/sparse_100_2_5</t>
  </si>
  <si>
    <t>examples/random/sparse_10000_3_5</t>
  </si>
  <si>
    <t>examples/random/dense_3000_1_9</t>
  </si>
  <si>
    <t>examples/random/sparse_300_2_8</t>
  </si>
  <si>
    <t>examples/random/dense_1000_2_6</t>
  </si>
  <si>
    <t>examples/random/sparse_10_2_1</t>
  </si>
  <si>
    <t>examples/random/sparse_30000_3_1</t>
  </si>
  <si>
    <t>examples/random/dense_3000_3_7</t>
  </si>
  <si>
    <t>examples/random/sparse_10000_1_10</t>
  </si>
  <si>
    <t>examples/random/sparse_30_2_4</t>
  </si>
  <si>
    <t>examples/random/sparse_10_10_4</t>
  </si>
  <si>
    <t>examples/random/dense_10000_3_1</t>
  </si>
  <si>
    <t>examples/random/sparse_30_10_9</t>
  </si>
  <si>
    <t>examples/random/sparse_30_3_10</t>
  </si>
  <si>
    <t>examples/random/dense_300_3_3</t>
  </si>
  <si>
    <t>examples/random/dense_300_2_9</t>
  </si>
  <si>
    <t>examples/random/dense_10_1_4</t>
  </si>
  <si>
    <t>examples/random/sparse_1000_3_5</t>
  </si>
  <si>
    <t>examples/random/dense_1000_1_10</t>
  </si>
  <si>
    <t>examples/random/sparse_3000_2_4</t>
  </si>
  <si>
    <t>examples/random/sparse_100000_3_1</t>
  </si>
  <si>
    <t>examples/random/dense_100_2_4</t>
  </si>
  <si>
    <t>examples/random/sparse_10000_1_2</t>
  </si>
  <si>
    <t>examples/random/sparse_100_10_10</t>
  </si>
  <si>
    <t>examples/random/sparse_30000_1_6</t>
  </si>
  <si>
    <t>examples/random/sparse_10000_10_3</t>
  </si>
  <si>
    <t>examples/random/sparse_10_2_8</t>
  </si>
  <si>
    <t>examples/random/sparse_300_2_1</t>
  </si>
  <si>
    <t>examples/random/sparse_30000_10_4</t>
  </si>
  <si>
    <t>examples/random/sparse_100_10_7</t>
  </si>
  <si>
    <t>examples/random/sparse_30000_3_8</t>
  </si>
  <si>
    <t>examples/random/sparse_30000_2_2</t>
  </si>
  <si>
    <t>examples/random/dense_3000_2_4</t>
  </si>
  <si>
    <t>examples/random/sparse_100000_10_9</t>
  </si>
  <si>
    <t>examples/random/sparse_300_1_5</t>
  </si>
  <si>
    <t>examples/random/dense_1000_3_5</t>
  </si>
  <si>
    <t>examples/random/sparse_100000_3_10</t>
  </si>
  <si>
    <t>examples/random/sparse_10_3_2</t>
  </si>
  <si>
    <t>examples/random/dense_30_1_8</t>
  </si>
  <si>
    <t>examples/random/sparse_100_1_8</t>
  </si>
  <si>
    <t>examples/random/sparse_10000_2_6</t>
  </si>
  <si>
    <t>examples/random/dense_30_3_6</t>
  </si>
  <si>
    <t>examples/random/sparse_100_3_6</t>
  </si>
  <si>
    <t>examples/random/dense_100_3_5</t>
  </si>
  <si>
    <t>examples/random/sparse_30000_2_10</t>
  </si>
  <si>
    <t>examples/random/dense_10000_1_10</t>
  </si>
  <si>
    <t>examples/random/dense_10000_1_4</t>
  </si>
  <si>
    <t>examples/random/sparse_1000_2_4</t>
  </si>
  <si>
    <t>examples/random/dense_300_3_8</t>
  </si>
  <si>
    <t>examples/random/sparse_3000_3_5</t>
  </si>
  <si>
    <t>examples/random/dense_300_1_6</t>
  </si>
  <si>
    <t>examples/random/sparse_30_10_2</t>
  </si>
  <si>
    <t>examples/random/dense_10_3_1</t>
  </si>
  <si>
    <t>examples/random/sparse_100000_1_4</t>
  </si>
  <si>
    <t>examples/random/sparse_3000_10_1</t>
  </si>
  <si>
    <t>examples/random/dense_300_2_2</t>
  </si>
  <si>
    <t>examples/random/sparse_30_3_5</t>
  </si>
  <si>
    <t>examples/random/sparse_1000_10_5</t>
  </si>
  <si>
    <t>examples/random/sparse_10000_3_7</t>
  </si>
  <si>
    <t>examples/random/sparse_10000_1_9</t>
  </si>
  <si>
    <t>examples/random/sparse_100_2_7</t>
  </si>
  <si>
    <t>examples/random/dense_30_2_7</t>
  </si>
  <si>
    <t>examples/random/dense_3000_3_5</t>
  </si>
  <si>
    <t>examples/random/sparse_30000_3_3</t>
  </si>
  <si>
    <t>examples/random/sparse_10_2_10</t>
  </si>
  <si>
    <t>examples/random/sparse_10_2_3</t>
  </si>
  <si>
    <t>examples/random/dense_1000_2_4</t>
  </si>
  <si>
    <t>examples/random/sparse_10000_10_8</t>
  </si>
  <si>
    <t>examples/random/sparse_300_10_7</t>
  </si>
  <si>
    <t>examples/random/sparse_10_3_9</t>
  </si>
  <si>
    <t>examples/random/sparse_100000_10_2</t>
  </si>
  <si>
    <t>examples/random/sparse_10_1_7</t>
  </si>
  <si>
    <t>examples/random/sparse_30000_2_9</t>
  </si>
  <si>
    <t>examples/random/sparse_100_1_3</t>
  </si>
  <si>
    <t>examples/random/dense_30_1_3</t>
  </si>
  <si>
    <t>examples/random/dense_10_3_8</t>
  </si>
  <si>
    <t>examples/random/sparse_1000_1_9</t>
  </si>
  <si>
    <t>examples/random/sparse_3000_2_6</t>
  </si>
  <si>
    <t>examples/random/sparse_100000_3_3</t>
  </si>
  <si>
    <t>examples/random/sparse_3000_10_8</t>
  </si>
  <si>
    <t>examples/random/sparse_1000_3_7</t>
  </si>
  <si>
    <t>examples/random/dense_10_1_6</t>
  </si>
  <si>
    <t>examples/random/dense_100_2_6</t>
  </si>
  <si>
    <t>examples/random/dense_10000_2_9</t>
  </si>
  <si>
    <t>examples/random/sparse_30_1_2</t>
  </si>
  <si>
    <t>examples/random/dense_30_1_10</t>
  </si>
  <si>
    <t>examples/random/dense_10000_3_3</t>
  </si>
  <si>
    <t>examples/random/sparse_10_10_6</t>
  </si>
  <si>
    <t>examples/random/dense_100_1_2</t>
  </si>
  <si>
    <t>examples/random/sparse_30_2_6</t>
  </si>
  <si>
    <t>examples/random/dense_300_3_1</t>
  </si>
  <si>
    <t>examples/random/sparse_3000_1_2</t>
  </si>
  <si>
    <t>examples/random/sparse_30_10_10</t>
  </si>
  <si>
    <t>examples/random/sparse_100000_2_9</t>
  </si>
  <si>
    <t>examples/random/dense_10_2_2</t>
  </si>
  <si>
    <t>examples/random/dense_1000_3_7</t>
  </si>
  <si>
    <t>examples/random/sparse_300_3_9</t>
  </si>
  <si>
    <t>examples/random/sparse_300_1_7</t>
  </si>
  <si>
    <t>examples/random/dense_1000_1_9</t>
  </si>
  <si>
    <t>examples/random/dense_3000_2_6</t>
  </si>
  <si>
    <t>examples/random/sparse_100_3_4</t>
  </si>
  <si>
    <t>examples/random/dense_30_3_4</t>
  </si>
  <si>
    <t>examples/random/sparse_10000_2_4</t>
  </si>
  <si>
    <t>examples/random/sparse_30000_10_6</t>
  </si>
  <si>
    <t>examples/random/sparse_100_10_5</t>
  </si>
  <si>
    <t>examples/random/sparse_300_2_3</t>
  </si>
  <si>
    <t>examples/random/sparse_10000_10_1</t>
  </si>
  <si>
    <t>examples/random/dense_3000_1_2</t>
  </si>
  <si>
    <t>examples/random/sparse_30000_1_4</t>
  </si>
  <si>
    <t>examples/random/sparse_300_2_10</t>
  </si>
  <si>
    <t>examples/random/sparse_30_1_3</t>
  </si>
  <si>
    <t>examples/random/dense_10000_2_8</t>
  </si>
  <si>
    <t>examples/random/dense_100_2_7</t>
  </si>
  <si>
    <t>examples/random/sparse_3000_3_10</t>
  </si>
  <si>
    <t>examples/random/sparse_100000_3_2</t>
  </si>
  <si>
    <t>examples/random/sparse_3000_2_7</t>
  </si>
  <si>
    <t>examples/random/sparse_1000_1_8</t>
  </si>
  <si>
    <t>examples/random/dense_10_2_10</t>
  </si>
  <si>
    <t>examples/random/dense_10_3_9</t>
  </si>
  <si>
    <t>examples/random/dense_10_1_7</t>
  </si>
  <si>
    <t>examples/random/sparse_1000_3_6</t>
  </si>
  <si>
    <t>examples/random/sparse_3000_10_9</t>
  </si>
  <si>
    <t>examples/random/sparse_3000_1_3</t>
  </si>
  <si>
    <t>examples/random/dense_10_2_3</t>
  </si>
  <si>
    <t>examples/random/sparse_100000_2_8</t>
  </si>
  <si>
    <t>examples/random/dense_10000_3_2</t>
  </si>
  <si>
    <t>examples/random/sparse_30_2_7</t>
  </si>
  <si>
    <t>examples/random/dense_100_1_3</t>
  </si>
  <si>
    <t>examples/random/sparse_10_10_7</t>
  </si>
  <si>
    <t>examples/random/dense_300_2_10</t>
  </si>
  <si>
    <t>examples/random/sparse_100_3_5</t>
  </si>
  <si>
    <t>examples/random/dense_30_3_5</t>
  </si>
  <si>
    <t>examples/random/sparse_10000_2_5</t>
  </si>
  <si>
    <t>examples/random/sparse_300_3_8</t>
  </si>
  <si>
    <t>examples/random/dense_1000_3_6</t>
  </si>
  <si>
    <t>examples/random/sparse_10_3_1</t>
  </si>
  <si>
    <t>examples/random/dense_3000_2_7</t>
  </si>
  <si>
    <t>examples/random/sparse_30000_2_1</t>
  </si>
  <si>
    <t>examples/random/dense_1000_1_8</t>
  </si>
  <si>
    <t>examples/random/sparse_300_1_6</t>
  </si>
  <si>
    <t>examples/random/sparse_100_10_4</t>
  </si>
  <si>
    <t>examples/random/sparse_30000_10_7</t>
  </si>
  <si>
    <t>examples/random/dense_3000_1_3</t>
  </si>
  <si>
    <t>examples/random/sparse_30000_1_5</t>
  </si>
  <si>
    <t>examples/random/sparse_300_2_2</t>
  </si>
  <si>
    <t>examples/random/sparse_10000_1_1</t>
  </si>
  <si>
    <t>examples/random/dense_300_3_9</t>
  </si>
  <si>
    <t>examples/random/sparse_1000_2_5</t>
  </si>
  <si>
    <t>examples/random/sparse_30_10_3</t>
  </si>
  <si>
    <t>examples/random/dense_300_1_7</t>
  </si>
  <si>
    <t>examples/random/sparse_3000_3_4</t>
  </si>
  <si>
    <t>examples/random/sparse_100000_2_1</t>
  </si>
  <si>
    <t>examples/random/dense_100_3_4</t>
  </si>
  <si>
    <t>examples/random/dense_10000_1_5</t>
  </si>
  <si>
    <t>examples/random/sparse_30_3_4</t>
  </si>
  <si>
    <t>examples/random/sparse_1000_10_4</t>
  </si>
  <si>
    <t>examples/random/dense_10000_2_1</t>
  </si>
  <si>
    <t>examples/random/sparse_100000_1_10</t>
  </si>
  <si>
    <t>examples/random/sparse_1000_1_1</t>
  </si>
  <si>
    <t>examples/random/sparse_3000_10_10</t>
  </si>
  <si>
    <t>examples/random/dense_300_2_3</t>
  </si>
  <si>
    <t>examples/random/sparse_100000_1_5</t>
  </si>
  <si>
    <t>examples/random/dense_3000_3_4</t>
  </si>
  <si>
    <t>examples/random/sparse_30000_3_2</t>
  </si>
  <si>
    <t>examples/random/sparse_10000_3_10</t>
  </si>
  <si>
    <t>examples/random/sparse_10000_10_9</t>
  </si>
  <si>
    <t>examples/random/dense_1000_2_5</t>
  </si>
  <si>
    <t>examples/random/sparse_10_2_2</t>
  </si>
  <si>
    <t>examples/random/sparse_10000_3_6</t>
  </si>
  <si>
    <t>examples/random/sparse_30_1_10</t>
  </si>
  <si>
    <t>examples/random/sparse_100_2_6</t>
  </si>
  <si>
    <t>examples/random/dense_30_2_6</t>
  </si>
  <si>
    <t>examples/random/sparse_10000_1_8</t>
  </si>
  <si>
    <t>examples/random/dense_1000_3_10</t>
  </si>
  <si>
    <t>examples/random/sparse_100_1_2</t>
  </si>
  <si>
    <t>examples/random/dense_30_1_2</t>
  </si>
  <si>
    <t>examples/random/sparse_10_3_8</t>
  </si>
  <si>
    <t>examples/random/sparse_300_3_1</t>
  </si>
  <si>
    <t>examples/random/sparse_300_10_6</t>
  </si>
  <si>
    <t>examples/random/sparse_30000_2_8</t>
  </si>
  <si>
    <t>examples/random/dense_1000_1_1</t>
  </si>
  <si>
    <t>examples/random/sparse_10_1_6</t>
  </si>
  <si>
    <t>examples/random/sparse_100000_10_3</t>
  </si>
  <si>
    <t>size calc</t>
  </si>
  <si>
    <t>size (rnd)</t>
  </si>
  <si>
    <t>faster?</t>
  </si>
  <si>
    <t>avg?</t>
  </si>
  <si>
    <t>count</t>
  </si>
  <si>
    <t>avg (naive)</t>
  </si>
  <si>
    <t>avg (simple)</t>
  </si>
  <si>
    <t>avg (bfgt)</t>
  </si>
  <si>
    <t>avg (log)</t>
  </si>
  <si>
    <t>avg (jump)</t>
  </si>
  <si>
    <t>med (naive)</t>
  </si>
  <si>
    <t>med (simple)</t>
  </si>
  <si>
    <t>med (bfgt)</t>
  </si>
  <si>
    <t>med (log)</t>
  </si>
  <si>
    <t>med (jump)</t>
  </si>
  <si>
    <t>solved (naive)</t>
  </si>
  <si>
    <t>solved (simple)</t>
  </si>
  <si>
    <t>solved (bfgt)</t>
  </si>
  <si>
    <t>solved(log)</t>
  </si>
  <si>
    <t>solved (jump)</t>
  </si>
  <si>
    <t>total</t>
  </si>
  <si>
    <t>real size</t>
  </si>
  <si>
    <t>Alg 1</t>
  </si>
  <si>
    <t>BFGT</t>
  </si>
  <si>
    <t>Alg 2</t>
  </si>
  <si>
    <t>Alg 3</t>
  </si>
  <si>
    <t>108x - 532x</t>
  </si>
  <si>
    <t>step</t>
  </si>
  <si>
    <t>time</t>
  </si>
  <si>
    <t>naive</t>
  </si>
  <si>
    <t>simple</t>
  </si>
  <si>
    <t>bfgt</t>
  </si>
  <si>
    <t>polylog</t>
  </si>
  <si>
    <t>jump</t>
  </si>
  <si>
    <t>generated</t>
  </si>
  <si>
    <t>loc</t>
  </si>
  <si>
    <t>file</t>
  </si>
  <si>
    <t>11 ./src/algorithm/mod.rs</t>
  </si>
  <si>
    <t>other</t>
  </si>
  <si>
    <t>common</t>
  </si>
  <si>
    <t>Common framework</t>
  </si>
  <si>
    <t>12 ./src/lib.rs</t>
  </si>
  <si>
    <t>Naive algorithm</t>
  </si>
  <si>
    <t>34 ./src/bin/run_compare.rs</t>
  </si>
  <si>
    <t>experiments</t>
  </si>
  <si>
    <t>Simple algorithm</t>
  </si>
  <si>
    <t>36 ./src/bin/run_example.rs</t>
  </si>
  <si>
    <t>BFGT algorithm</t>
  </si>
  <si>
    <t>46 ./src/debug_counter.rs</t>
  </si>
  <si>
    <t>log</t>
  </si>
  <si>
    <t>Algorithm 2</t>
  </si>
  <si>
    <t>66 ./src/bin/run_all.rs</t>
  </si>
  <si>
    <t>Algorithm 3</t>
  </si>
  <si>
    <t>78 ./src/algorithm/naive.rs</t>
  </si>
  <si>
    <t>EF</t>
  </si>
  <si>
    <t>Euler Tour Trees</t>
  </si>
  <si>
    <t>98 ./src/algorithm/simple.rs</t>
  </si>
  <si>
    <t>Experimental Scripts</t>
  </si>
  <si>
    <t>116 ./src/constants.rs</t>
  </si>
  <si>
    <t>tests</t>
  </si>
  <si>
    <t>Additional Unit Tests</t>
  </si>
  <si>
    <t>147 ./src/interface.rs</t>
  </si>
  <si>
    <t>util</t>
  </si>
  <si>
    <t>Util</t>
  </si>
  <si>
    <t>202 ./src/search.rs</t>
  </si>
  <si>
    <t>Other</t>
  </si>
  <si>
    <t>217 ./src/util.rs</t>
  </si>
  <si>
    <t>229 ./src/driver.rs</t>
  </si>
  <si>
    <t>Total</t>
  </si>
  <si>
    <t>249 ./src/example.rs</t>
  </si>
  <si>
    <t>253 ./src/algorithm/log.rs</t>
  </si>
  <si>
    <t>265 ./src/algorithm/bfgt.rs</t>
  </si>
  <si>
    <t>283 ./src/algorithm/jump.rs</t>
  </si>
  <si>
    <t>307 ./src/hashy.rs</t>
  </si>
  <si>
    <t>370 ./src/graph.rs</t>
  </si>
  <si>
    <t>389 ./src/euler_forest.rs</t>
  </si>
  <si>
    <t>420 ./src/bin/example_gen.rs</t>
  </si>
  <si>
    <t>682 ./tests/test_examples.rs</t>
  </si>
  <si>
    <t>814 ./src/avl_forest.rs</t>
  </si>
  <si>
    <t>5324 total</t>
  </si>
  <si>
    <t>examples/generated/line_20</t>
  </si>
  <si>
    <t>examples/generated/liveline_3</t>
  </si>
  <si>
    <t>examples/generated/liveline_10</t>
  </si>
  <si>
    <t>examples/generated/liveline_20</t>
  </si>
  <si>
    <t>examples/generated/liveline_100</t>
  </si>
  <si>
    <t>examples/generated/liveline_1000</t>
  </si>
  <si>
    <t>examples/generated/liveline_10000</t>
  </si>
  <si>
    <t>examples/generated/liveloop_3</t>
  </si>
  <si>
    <t>examples/generated/liveloop_10</t>
  </si>
  <si>
    <t>examples/generated/liveloop_20</t>
  </si>
  <si>
    <t>examples/generated/liveloop_100</t>
  </si>
  <si>
    <t>examples/generated/liveloop_1000</t>
  </si>
  <si>
    <t>examples/generated/liveloop_10000</t>
  </si>
  <si>
    <t>examples/generated/loop_20</t>
  </si>
  <si>
    <t>examples/generated/reverseline_20</t>
  </si>
  <si>
    <t>examples/generated/reverseliveline_3</t>
  </si>
  <si>
    <t>examples/generated/reverseliveline_10</t>
  </si>
  <si>
    <t>examples/generated/reverseliveline_20</t>
  </si>
  <si>
    <t>examples/generated/reverseliveline_100</t>
  </si>
  <si>
    <t>examples/generated/reverseliveline_1000</t>
  </si>
  <si>
    <t>examples/generated/reverseliveline_10000</t>
  </si>
  <si>
    <t>examples/generated/reverseliveloop_3</t>
  </si>
  <si>
    <t>examples/generated/reverseliveloop_10</t>
  </si>
  <si>
    <t>examples/generated/reverseliveloop_20</t>
  </si>
  <si>
    <t>examples/generated/reverseliveloop_100</t>
  </si>
  <si>
    <t>examples/generated/reverseliveloop_1000</t>
  </si>
  <si>
    <t>examples/generated/reverseliveloop_10000</t>
  </si>
  <si>
    <t>examples/generated/reverseloop_20</t>
  </si>
  <si>
    <t>examples/generated/unkloop_20</t>
  </si>
  <si>
    <t>examples/generated/reverseunkloop_20</t>
  </si>
  <si>
    <t>examples/generated/reverseunkline_20</t>
  </si>
  <si>
    <t>examples/generated/unkline_20</t>
  </si>
  <si>
    <t>space (naive)</t>
  </si>
  <si>
    <t>space (simple)</t>
  </si>
  <si>
    <t>space (tarjan)</t>
  </si>
  <si>
    <t>space (jump)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</si>
</sst>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Space versus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Old!$L$1</c:f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Old!$K$2:$K$53</c:f>
            </c:numRef>
          </c:xVal>
          <c:yVal>
            <c:numRef>
              <c:f>Old!$L$2:$L$53</c:f>
              <c:numCache/>
            </c:numRef>
          </c:yVal>
        </c:ser>
        <c:ser>
          <c:idx val="1"/>
          <c:order val="1"/>
          <c:tx>
            <c:strRef>
              <c:f>Old!$M$1</c:f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Old!$K$2:$K$53</c:f>
            </c:numRef>
          </c:xVal>
          <c:yVal>
            <c:numRef>
              <c:f>Old!$M$2:$M$53</c:f>
              <c:numCache/>
            </c:numRef>
          </c:yVal>
        </c:ser>
        <c:ser>
          <c:idx val="2"/>
          <c:order val="2"/>
          <c:tx>
            <c:strRef>
              <c:f>Old!$N$1</c:f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Old!$K$2:$K$53</c:f>
            </c:numRef>
          </c:xVal>
          <c:yVal>
            <c:numRef>
              <c:f>Old!$N$2:$N$53</c:f>
              <c:numCache/>
            </c:numRef>
          </c:yVal>
        </c:ser>
        <c:ser>
          <c:idx val="3"/>
          <c:order val="3"/>
          <c:tx>
            <c:strRef>
              <c:f>Old!$O$1</c:f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Old!$K$2:$K$53</c:f>
            </c:numRef>
          </c:xVal>
          <c:yVal>
            <c:numRef>
              <c:f>Old!$O$2:$O$53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078407"/>
        <c:axId val="1643989464"/>
      </c:scatterChart>
      <c:valAx>
        <c:axId val="1713078407"/>
        <c:scaling>
          <c:orientation val="minMax"/>
          <c:max val="1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Space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3989464"/>
      </c:valAx>
      <c:valAx>
        <c:axId val="1643989464"/>
        <c:scaling>
          <c:orientation val="minMax"/>
          <c:max val="1.0E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0784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Naive</c:v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plots1!$B$2:$B$545</c:f>
            </c:numRef>
          </c:xVal>
          <c:yVal>
            <c:numRef>
              <c:f>plots1!$D$2:$D$545</c:f>
              <c:numCache/>
            </c:numRef>
          </c:yVal>
        </c:ser>
        <c:ser>
          <c:idx val="1"/>
          <c:order val="1"/>
          <c:tx>
            <c:v>Simple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plots1!$B$2:$B$545</c:f>
            </c:numRef>
          </c:xVal>
          <c:yVal>
            <c:numRef>
              <c:f>plots1!$E$2:$E$545</c:f>
              <c:numCache/>
            </c:numRef>
          </c:yVal>
        </c:ser>
        <c:ser>
          <c:idx val="2"/>
          <c:order val="2"/>
          <c:tx>
            <c:v>BFGT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plots1!$B$2:$B$545</c:f>
            </c:numRef>
          </c:xVal>
          <c:yVal>
            <c:numRef>
              <c:f>plots1!$F$2:$F$545</c:f>
              <c:numCache/>
            </c:numRef>
          </c:yVal>
        </c:ser>
        <c:ser>
          <c:idx val="3"/>
          <c:order val="3"/>
          <c:tx>
            <c:v>Alg 2</c:v>
          </c:tx>
          <c:spPr>
            <a:ln>
              <a:noFill/>
            </a:ln>
          </c:spPr>
          <c:marker>
            <c:symbol val="x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plots1!$B$2:$B$545</c:f>
            </c:numRef>
          </c:xVal>
          <c:yVal>
            <c:numRef>
              <c:f>plots1!$G$2:$G$545</c:f>
              <c:numCache/>
            </c:numRef>
          </c:yVal>
        </c:ser>
        <c:ser>
          <c:idx val="4"/>
          <c:order val="4"/>
          <c:tx>
            <c:v>Alg 3</c:v>
          </c:tx>
          <c:spPr>
            <a:ln>
              <a:noFill/>
            </a:ln>
          </c:spPr>
          <c:marker>
            <c:symbol val="star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plots1!$B$2:$B$545</c:f>
            </c:numRef>
          </c:xVal>
          <c:yVal>
            <c:numRef>
              <c:f>plots1!$H$2:$H$545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332262"/>
        <c:axId val="2092191549"/>
      </c:scatterChart>
      <c:valAx>
        <c:axId val="1999332262"/>
        <c:scaling>
          <c:orientation val="minMax"/>
          <c:min val="1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Benchmark Size</a:t>
                </a:r>
              </a:p>
            </c:rich>
          </c:tx>
          <c:layout>
            <c:manualLayout>
              <c:xMode val="edge"/>
              <c:yMode val="edge"/>
              <c:x val="0.22348993288590605"/>
              <c:y val="0.896312260536398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2092191549"/>
      </c:valAx>
      <c:valAx>
        <c:axId val="2092191549"/>
        <c:scaling>
          <c:orientation val="minMax"/>
          <c:max val="8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layout>
            <c:manualLayout>
              <c:xMode val="edge"/>
              <c:yMode val="edge"/>
              <c:x val="0.06626292409410224"/>
              <c:y val="0.2038778903450341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999332262"/>
      </c:valAx>
    </c:plotArea>
    <c:legend>
      <c:legendPos val="r"/>
      <c:layout>
        <c:manualLayout>
          <c:xMode val="edge"/>
          <c:yMode val="edge"/>
          <c:x val="0.17635766362009903"/>
          <c:y val="0.04535166940339354"/>
        </c:manualLayout>
      </c:layout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Generated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Naive</c:v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plots1!$B$2:$B$81</c:f>
            </c:numRef>
          </c:xVal>
          <c:yVal>
            <c:numRef>
              <c:f>plots1!$D$2:$D$81</c:f>
              <c:numCache/>
            </c:numRef>
          </c:yVal>
        </c:ser>
        <c:ser>
          <c:idx val="1"/>
          <c:order val="1"/>
          <c:tx>
            <c:v>Alg 1</c:v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plots1!$B$2:$B$81</c:f>
            </c:numRef>
          </c:xVal>
          <c:yVal>
            <c:numRef>
              <c:f>plots1!$E$2:$E$81</c:f>
              <c:numCache/>
            </c:numRef>
          </c:yVal>
        </c:ser>
        <c:ser>
          <c:idx val="2"/>
          <c:order val="2"/>
          <c:tx>
            <c:v>BFGT</c:v>
          </c:tx>
          <c:spPr>
            <a:ln>
              <a:noFill/>
            </a:ln>
          </c:spPr>
          <c:marker>
            <c:symbol val="triangle"/>
            <c:size val="9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plots1!$B$2:$B$81</c:f>
            </c:numRef>
          </c:xVal>
          <c:yVal>
            <c:numRef>
              <c:f>plots1!$F$2:$F$81</c:f>
              <c:numCache/>
            </c:numRef>
          </c:yVal>
        </c:ser>
        <c:ser>
          <c:idx val="3"/>
          <c:order val="3"/>
          <c:tx>
            <c:v>Alg 2</c:v>
          </c:tx>
          <c:spPr>
            <a:ln>
              <a:noFill/>
            </a:ln>
          </c:spPr>
          <c:marker>
            <c:symbol val="x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plots1!$B$2:$B$81</c:f>
            </c:numRef>
          </c:xVal>
          <c:yVal>
            <c:numRef>
              <c:f>plots1!$G$2:$G$81</c:f>
              <c:numCache/>
            </c:numRef>
          </c:yVal>
        </c:ser>
        <c:ser>
          <c:idx val="4"/>
          <c:order val="4"/>
          <c:tx>
            <c:v>Alg 3</c:v>
          </c:tx>
          <c:spPr>
            <a:ln>
              <a:noFill/>
            </a:ln>
          </c:spPr>
          <c:marker>
            <c:symbol val="star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plots1!$B$2:$B$81</c:f>
            </c:numRef>
          </c:xVal>
          <c:yVal>
            <c:numRef>
              <c:f>plots1!$H$2:$H$81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88392"/>
        <c:axId val="950352478"/>
      </c:scatterChart>
      <c:valAx>
        <c:axId val="77888392"/>
        <c:scaling>
          <c:orientation val="minMax"/>
          <c:max val="10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Example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352478"/>
      </c:valAx>
      <c:valAx>
        <c:axId val="950352478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layout>
            <c:manualLayout>
              <c:xMode val="edge"/>
              <c:yMode val="edge"/>
              <c:x val="0.03258333333333333"/>
              <c:y val="0.2029200359389038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88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Random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Naive</c:v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plots1!$B$82:$B$471</c:f>
            </c:numRef>
          </c:xVal>
          <c:yVal>
            <c:numRef>
              <c:f>plots1!$D$82:$D$471</c:f>
              <c:numCache/>
            </c:numRef>
          </c:yVal>
        </c:ser>
        <c:ser>
          <c:idx val="1"/>
          <c:order val="1"/>
          <c:tx>
            <c:v>Alg 1</c:v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plots1!$B$82:$B$471</c:f>
            </c:numRef>
          </c:xVal>
          <c:yVal>
            <c:numRef>
              <c:f>plots1!$E$82:$E$471</c:f>
              <c:numCache/>
            </c:numRef>
          </c:yVal>
        </c:ser>
        <c:ser>
          <c:idx val="2"/>
          <c:order val="2"/>
          <c:tx>
            <c:v>BFGT</c:v>
          </c:tx>
          <c:spPr>
            <a:ln>
              <a:noFill/>
            </a:ln>
          </c:spPr>
          <c:marker>
            <c:symbol val="triangle"/>
            <c:size val="9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plots1!$B$82:$B$471</c:f>
            </c:numRef>
          </c:xVal>
          <c:yVal>
            <c:numRef>
              <c:f>plots1!$F$82:$F$471</c:f>
              <c:numCache/>
            </c:numRef>
          </c:yVal>
        </c:ser>
        <c:ser>
          <c:idx val="3"/>
          <c:order val="3"/>
          <c:tx>
            <c:v>Alg 2</c:v>
          </c:tx>
          <c:spPr>
            <a:ln>
              <a:noFill/>
            </a:ln>
          </c:spPr>
          <c:marker>
            <c:symbol val="x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plots1!$B$82:$B$471</c:f>
            </c:numRef>
          </c:xVal>
          <c:yVal>
            <c:numRef>
              <c:f>plots1!$G$82:$G$471</c:f>
              <c:numCache/>
            </c:numRef>
          </c:yVal>
        </c:ser>
        <c:ser>
          <c:idx val="4"/>
          <c:order val="4"/>
          <c:tx>
            <c:v>Alg 3</c:v>
          </c:tx>
          <c:spPr>
            <a:ln>
              <a:noFill/>
            </a:ln>
          </c:spPr>
          <c:marker>
            <c:symbol val="star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plots1!$B$82:$B$471</c:f>
            </c:numRef>
          </c:xVal>
          <c:yVal>
            <c:numRef>
              <c:f>plots1!$H$82:$H$471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361801"/>
        <c:axId val="703179056"/>
      </c:scatterChart>
      <c:valAx>
        <c:axId val="884361801"/>
        <c:scaling>
          <c:orientation val="minMax"/>
          <c:max val="10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Example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179056"/>
      </c:valAx>
      <c:valAx>
        <c:axId val="703179056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layout>
            <c:manualLayout>
              <c:xMode val="edge"/>
              <c:yMode val="edge"/>
              <c:x val="0.03258333333333333"/>
              <c:y val="0.2029200359389038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4361801"/>
      </c:valAx>
    </c:plotArea>
    <c:legend>
      <c:legendPos val="r"/>
      <c:layout>
        <c:manualLayout>
          <c:xMode val="edge"/>
          <c:yMode val="edge"/>
          <c:x val="0.17886179016857615"/>
          <c:y val="0.05000000000000001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Regex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Naive</c:v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plots1!$B$472:$B$545</c:f>
            </c:numRef>
          </c:xVal>
          <c:yVal>
            <c:numRef>
              <c:f>plots1!$D$472:$D$545</c:f>
              <c:numCache/>
            </c:numRef>
          </c:yVal>
        </c:ser>
        <c:ser>
          <c:idx val="1"/>
          <c:order val="1"/>
          <c:tx>
            <c:v>Alg 1</c:v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plots1!$B$472:$B$545</c:f>
            </c:numRef>
          </c:xVal>
          <c:yVal>
            <c:numRef>
              <c:f>plots1!$E$472:$E$545</c:f>
              <c:numCache/>
            </c:numRef>
          </c:yVal>
        </c:ser>
        <c:ser>
          <c:idx val="2"/>
          <c:order val="2"/>
          <c:tx>
            <c:v>BFGT</c:v>
          </c:tx>
          <c:spPr>
            <a:ln>
              <a:noFill/>
            </a:ln>
          </c:spPr>
          <c:marker>
            <c:symbol val="triangle"/>
            <c:size val="9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plots1!$B$472:$B$545</c:f>
            </c:numRef>
          </c:xVal>
          <c:yVal>
            <c:numRef>
              <c:f>plots1!$F$472:$F$545</c:f>
              <c:numCache/>
            </c:numRef>
          </c:yVal>
        </c:ser>
        <c:ser>
          <c:idx val="3"/>
          <c:order val="3"/>
          <c:tx>
            <c:v>Alg 2</c:v>
          </c:tx>
          <c:spPr>
            <a:ln>
              <a:noFill/>
            </a:ln>
          </c:spPr>
          <c:marker>
            <c:symbol val="x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plots1!$B$472:$B$545</c:f>
            </c:numRef>
          </c:xVal>
          <c:yVal>
            <c:numRef>
              <c:f>plots1!$G$472:$G$545</c:f>
              <c:numCache/>
            </c:numRef>
          </c:yVal>
        </c:ser>
        <c:ser>
          <c:idx val="4"/>
          <c:order val="4"/>
          <c:tx>
            <c:v>Alg 3</c:v>
          </c:tx>
          <c:spPr>
            <a:ln>
              <a:noFill/>
            </a:ln>
          </c:spPr>
          <c:marker>
            <c:symbol val="star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plots1!$B$472:$B$545</c:f>
            </c:numRef>
          </c:xVal>
          <c:yVal>
            <c:numRef>
              <c:f>plots1!$H$472:$H$545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376789"/>
        <c:axId val="1895020103"/>
      </c:scatterChart>
      <c:valAx>
        <c:axId val="1621376789"/>
        <c:scaling>
          <c:orientation val="minMax"/>
          <c:max val="10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Example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020103"/>
      </c:valAx>
      <c:valAx>
        <c:axId val="1895020103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layout>
            <c:manualLayout>
              <c:xMode val="edge"/>
              <c:yMode val="edge"/>
              <c:x val="0.03258333333333333"/>
              <c:y val="0.2029200359389038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3767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plots1!$Y$1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plots1!$Y$2:$Y$4</c:f>
              <c:numCache/>
            </c:numRef>
          </c:val>
        </c:ser>
        <c:ser>
          <c:idx val="1"/>
          <c:order val="1"/>
          <c:tx>
            <c:strRef>
              <c:f>plots1!$Z$1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plots1!$Z$2:$Z$4</c:f>
              <c:numCache/>
            </c:numRef>
          </c:val>
        </c:ser>
        <c:ser>
          <c:idx val="2"/>
          <c:order val="2"/>
          <c:tx>
            <c:strRef>
              <c:f>plots1!$AA$1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plots1!$AA$2:$AA$4</c:f>
              <c:numCache/>
            </c:numRef>
          </c:val>
        </c:ser>
        <c:ser>
          <c:idx val="3"/>
          <c:order val="3"/>
          <c:tx>
            <c:strRef>
              <c:f>plots1!$AB$1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plots1!$AB$2:$AB$4</c:f>
              <c:numCache/>
            </c:numRef>
          </c:val>
        </c:ser>
        <c:axId val="2085369770"/>
        <c:axId val="49342271"/>
      </c:barChart>
      <c:catAx>
        <c:axId val="20853697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342271"/>
      </c:catAx>
      <c:valAx>
        <c:axId val="49342271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53697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plots1!$X$7</c:f>
            </c:strRef>
          </c:tx>
          <c:spPr>
            <a:ln cmpd="sng">
              <a:solidFill>
                <a:srgbClr val="4285F4"/>
              </a:solidFill>
              <a:prstDash val="sysDot"/>
            </a:ln>
          </c:spPr>
          <c:marker>
            <c:symbol val="none"/>
          </c:marker>
          <c:cat>
            <c:strRef>
              <c:f>plots1!$W$8:$W$19</c:f>
            </c:strRef>
          </c:cat>
          <c:val>
            <c:numRef>
              <c:f>plots1!$X$8:$X$19</c:f>
              <c:numCache/>
            </c:numRef>
          </c:val>
          <c:smooth val="0"/>
        </c:ser>
        <c:ser>
          <c:idx val="1"/>
          <c:order val="1"/>
          <c:tx>
            <c:v>Simple</c:v>
          </c:tx>
          <c:spPr>
            <a:ln cmpd="sng">
              <a:solidFill>
                <a:srgbClr val="EA4335"/>
              </a:solidFill>
              <a:prstDash val="dash"/>
            </a:ln>
          </c:spPr>
          <c:marker>
            <c:symbol val="none"/>
          </c:marker>
          <c:cat>
            <c:strRef>
              <c:f>plots1!$W$8:$W$19</c:f>
            </c:strRef>
          </c:cat>
          <c:val>
            <c:numRef>
              <c:f>plots1!$Y$8:$Y$19</c:f>
              <c:numCache/>
            </c:numRef>
          </c:val>
          <c:smooth val="0"/>
        </c:ser>
        <c:ser>
          <c:idx val="2"/>
          <c:order val="2"/>
          <c:tx>
            <c:strRef>
              <c:f>plots1!$Z$7</c:f>
            </c:strRef>
          </c:tx>
          <c:spPr>
            <a:ln cmpd="sng">
              <a:solidFill>
                <a:srgbClr val="FBBC04"/>
              </a:solidFill>
              <a:prstDash val="dashDot"/>
            </a:ln>
          </c:spPr>
          <c:marker>
            <c:symbol val="none"/>
          </c:marker>
          <c:cat>
            <c:strRef>
              <c:f>plots1!$W$8:$W$19</c:f>
            </c:strRef>
          </c:cat>
          <c:val>
            <c:numRef>
              <c:f>plots1!$Z$8:$Z$19</c:f>
              <c:numCache/>
            </c:numRef>
          </c:val>
          <c:smooth val="0"/>
        </c:ser>
        <c:ser>
          <c:idx val="3"/>
          <c:order val="3"/>
          <c:tx>
            <c:strRef>
              <c:f>plots1!$AA$7</c:f>
            </c:strRef>
          </c:tx>
          <c:spPr>
            <a:ln cmpd="sng">
              <a:solidFill>
                <a:srgbClr val="34A853"/>
              </a:solidFill>
              <a:prstDash val="lgDash"/>
            </a:ln>
          </c:spPr>
          <c:marker>
            <c:symbol val="none"/>
          </c:marker>
          <c:cat>
            <c:strRef>
              <c:f>plots1!$W$8:$W$19</c:f>
            </c:strRef>
          </c:cat>
          <c:val>
            <c:numRef>
              <c:f>plots1!$AA$8:$AA$19</c:f>
              <c:numCache/>
            </c:numRef>
          </c:val>
          <c:smooth val="0"/>
        </c:ser>
        <c:ser>
          <c:idx val="4"/>
          <c:order val="4"/>
          <c:tx>
            <c:strRef>
              <c:f>plots1!$AB$7</c:f>
            </c:strRef>
          </c:tx>
          <c:spPr>
            <a:ln cmpd="sng">
              <a:solidFill>
                <a:srgbClr val="FF6D01"/>
              </a:solidFill>
              <a:prstDash val="solid"/>
            </a:ln>
          </c:spPr>
          <c:marker>
            <c:symbol val="none"/>
          </c:marker>
          <c:cat>
            <c:strRef>
              <c:f>plots1!$W$8:$W$19</c:f>
            </c:strRef>
          </c:cat>
          <c:val>
            <c:numRef>
              <c:f>plots1!$AB$8:$AB$19</c:f>
              <c:numCache/>
            </c:numRef>
          </c:val>
          <c:smooth val="0"/>
        </c:ser>
        <c:axId val="1342933994"/>
        <c:axId val="1666064400"/>
      </c:lineChart>
      <c:catAx>
        <c:axId val="1342933994"/>
        <c:scaling>
          <c:orientation val="minMax"/>
          <c:min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Benchmark Size</a:t>
                </a:r>
              </a:p>
            </c:rich>
          </c:tx>
          <c:layout>
            <c:manualLayout>
              <c:xMode val="edge"/>
              <c:yMode val="edge"/>
              <c:x val="0.2099166692097982"/>
              <c:y val="0.858355795148248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666064400"/>
      </c:catAx>
      <c:valAx>
        <c:axId val="1666064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Average Time (ms)</a:t>
                </a:r>
              </a:p>
            </c:rich>
          </c:tx>
          <c:layout>
            <c:manualLayout>
              <c:xMode val="edge"/>
              <c:yMode val="edge"/>
              <c:x val="0.06091666666666666"/>
              <c:y val="0.137241689128481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342933994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All</a:t>
            </a:r>
          </a:p>
        </c:rich>
      </c:tx>
      <c:overlay val="0"/>
    </c:title>
    <c:plotArea>
      <c:layout/>
      <c:lineChart>
        <c:ser>
          <c:idx val="0"/>
          <c:order val="0"/>
          <c:tx>
            <c:v>Naive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plots2!$B$2:$B$97</c:f>
            </c:strRef>
          </c:cat>
          <c:val>
            <c:numRef>
              <c:f>plots2!$C$2:$C$97</c:f>
              <c:numCache/>
            </c:numRef>
          </c:val>
          <c:smooth val="0"/>
        </c:ser>
        <c:ser>
          <c:idx val="1"/>
          <c:order val="1"/>
          <c:tx>
            <c:v>Alg 1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plots2!$B$2:$B$97</c:f>
            </c:strRef>
          </c:cat>
          <c:val>
            <c:numRef>
              <c:f>plots2!$D$2:$D$97</c:f>
              <c:numCache/>
            </c:numRef>
          </c:val>
          <c:smooth val="0"/>
        </c:ser>
        <c:ser>
          <c:idx val="2"/>
          <c:order val="2"/>
          <c:tx>
            <c:v>BFGT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plots2!$B$2:$B$97</c:f>
            </c:strRef>
          </c:cat>
          <c:val>
            <c:numRef>
              <c:f>plots2!$E$2:$E$97</c:f>
              <c:numCache/>
            </c:numRef>
          </c:val>
          <c:smooth val="0"/>
        </c:ser>
        <c:ser>
          <c:idx val="3"/>
          <c:order val="3"/>
          <c:tx>
            <c:v>Alg 2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plots2!$B$2:$B$97</c:f>
            </c:strRef>
          </c:cat>
          <c:val>
            <c:numRef>
              <c:f>plots2!$F$2:$F$97</c:f>
              <c:numCache/>
            </c:numRef>
          </c:val>
          <c:smooth val="0"/>
        </c:ser>
        <c:ser>
          <c:idx val="4"/>
          <c:order val="4"/>
          <c:tx>
            <c:v>Alg 3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plots2!$B$2:$B$97</c:f>
            </c:strRef>
          </c:cat>
          <c:val>
            <c:numRef>
              <c:f>plots2!$G$2:$G$97</c:f>
              <c:numCache/>
            </c:numRef>
          </c:val>
          <c:smooth val="0"/>
        </c:ser>
        <c:axId val="1506259571"/>
        <c:axId val="2098839824"/>
      </c:lineChart>
      <c:catAx>
        <c:axId val="1506259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8839824"/>
      </c:catAx>
      <c:valAx>
        <c:axId val="2098839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259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Naive</c:v>
          </c:tx>
          <c:spPr>
            <a:ln cmpd="sng">
              <a:solidFill>
                <a:srgbClr val="4285F4"/>
              </a:solidFill>
              <a:prstDash val="sysDot"/>
            </a:ln>
          </c:spPr>
          <c:marker>
            <c:symbol val="none"/>
          </c:marker>
          <c:cat>
            <c:strRef>
              <c:f>plots2!$I$2:$I$97</c:f>
            </c:strRef>
          </c:cat>
          <c:val>
            <c:numRef>
              <c:f>plots2!$J$2:$J$97</c:f>
              <c:numCache/>
            </c:numRef>
          </c:val>
          <c:smooth val="0"/>
        </c:ser>
        <c:ser>
          <c:idx val="1"/>
          <c:order val="1"/>
          <c:tx>
            <c:v>Simple</c:v>
          </c:tx>
          <c:spPr>
            <a:ln cmpd="sng">
              <a:solidFill>
                <a:srgbClr val="EA4335"/>
              </a:solidFill>
              <a:prstDash val="dash"/>
            </a:ln>
          </c:spPr>
          <c:marker>
            <c:symbol val="none"/>
          </c:marker>
          <c:cat>
            <c:strRef>
              <c:f>plots2!$I$2:$I$97</c:f>
            </c:strRef>
          </c:cat>
          <c:val>
            <c:numRef>
              <c:f>plots2!$K$2:$K$97</c:f>
              <c:numCache/>
            </c:numRef>
          </c:val>
          <c:smooth val="0"/>
        </c:ser>
        <c:ser>
          <c:idx val="2"/>
          <c:order val="2"/>
          <c:tx>
            <c:v>BFGT</c:v>
          </c:tx>
          <c:spPr>
            <a:ln cmpd="sng">
              <a:solidFill>
                <a:srgbClr val="FBBC04"/>
              </a:solidFill>
              <a:prstDash val="dashDot"/>
            </a:ln>
          </c:spPr>
          <c:marker>
            <c:symbol val="none"/>
          </c:marker>
          <c:cat>
            <c:strRef>
              <c:f>plots2!$I$2:$I$97</c:f>
            </c:strRef>
          </c:cat>
          <c:val>
            <c:numRef>
              <c:f>plots2!$L$2:$L$97</c:f>
              <c:numCache/>
            </c:numRef>
          </c:val>
          <c:smooth val="0"/>
        </c:ser>
        <c:ser>
          <c:idx val="3"/>
          <c:order val="3"/>
          <c:tx>
            <c:v>Alg 2</c:v>
          </c:tx>
          <c:spPr>
            <a:ln cmpd="sng">
              <a:solidFill>
                <a:srgbClr val="34A853"/>
              </a:solidFill>
              <a:prstDash val="lgDash"/>
            </a:ln>
          </c:spPr>
          <c:marker>
            <c:symbol val="none"/>
          </c:marker>
          <c:cat>
            <c:strRef>
              <c:f>plots2!$I$2:$I$97</c:f>
            </c:strRef>
          </c:cat>
          <c:val>
            <c:numRef>
              <c:f>plots2!$M$2:$M$97</c:f>
              <c:numCache/>
            </c:numRef>
          </c:val>
          <c:smooth val="0"/>
        </c:ser>
        <c:ser>
          <c:idx val="4"/>
          <c:order val="4"/>
          <c:tx>
            <c:v>Alg 3</c:v>
          </c:tx>
          <c:spPr>
            <a:ln cmpd="sng">
              <a:solidFill>
                <a:srgbClr val="FF6D01"/>
              </a:solidFill>
              <a:prstDash val="solid"/>
            </a:ln>
          </c:spPr>
          <c:marker>
            <c:symbol val="none"/>
          </c:marker>
          <c:cat>
            <c:strRef>
              <c:f>plots2!$I$2:$I$97</c:f>
            </c:strRef>
          </c:cat>
          <c:val>
            <c:numRef>
              <c:f>plots2!$N$2:$N$97</c:f>
              <c:numCache/>
            </c:numRef>
          </c:val>
          <c:smooth val="0"/>
        </c:ser>
        <c:axId val="1033432311"/>
        <c:axId val="1206462072"/>
      </c:lineChart>
      <c:catAx>
        <c:axId val="1033432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layout>
            <c:manualLayout>
              <c:xMode val="edge"/>
              <c:yMode val="edge"/>
              <c:x val="0.17208333460489905"/>
              <c:y val="0.8556603773584905"/>
            </c:manualLayout>
          </c:layout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206462072"/>
      </c:catAx>
      <c:valAx>
        <c:axId val="1206462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Benchmarks Solved</a:t>
                </a:r>
              </a:p>
            </c:rich>
          </c:tx>
          <c:layout>
            <c:manualLayout>
              <c:xMode val="edge"/>
              <c:yMode val="edge"/>
              <c:x val="0.07091666666666666"/>
              <c:y val="0.1372416891284816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033432311"/>
        <c:majorUnit val="30.0"/>
        <c:minorUnit val="10.0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(jump) vs. time (simple)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plots1!$G$1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plots1!$E$2:$E$545</c:f>
            </c:numRef>
          </c:xVal>
          <c:yVal>
            <c:numRef>
              <c:f>plots1!$G$2:$G$545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542360"/>
        <c:axId val="2010208840"/>
      </c:scatterChart>
      <c:valAx>
        <c:axId val="323542360"/>
        <c:scaling>
          <c:orientation val="minMax"/>
          <c:max val="1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(simple)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0208840"/>
      </c:valAx>
      <c:valAx>
        <c:axId val="2010208840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(jump)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542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(simple) vs. time (tarjan)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plots1!$E$1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plots1!$F$2:$F$545</c:f>
            </c:numRef>
          </c:xVal>
          <c:yVal>
            <c:numRef>
              <c:f>plots1!$E$2:$E$545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052443"/>
        <c:axId val="9957371"/>
      </c:scatterChart>
      <c:valAx>
        <c:axId val="1343052443"/>
        <c:scaling>
          <c:orientation val="minMax"/>
          <c:max val="1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(tarjan)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7371"/>
      </c:valAx>
      <c:valAx>
        <c:axId val="9957371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time(simple)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3052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plots1!$G$1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plots1!$F$2:$F$545</c:f>
            </c:numRef>
          </c:xVal>
          <c:yVal>
            <c:numRef>
              <c:f>plots1!$G$2:$G$545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937409"/>
        <c:axId val="1549752188"/>
      </c:scatterChart>
      <c:valAx>
        <c:axId val="585937409"/>
        <c:scaling>
          <c:orientation val="minMax"/>
          <c:max val="1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-- BFTG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9752188"/>
      </c:valAx>
      <c:valAx>
        <c:axId val="1549752188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-- Ours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9374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Example Size versus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debug!$C$1</c:f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debug!$B$2:$B$1000</c:f>
            </c:numRef>
          </c:xVal>
          <c:yVal>
            <c:numRef>
              <c:f>debug!$C$2:$C$1000</c:f>
              <c:numCache/>
            </c:numRef>
          </c:yVal>
        </c:ser>
        <c:ser>
          <c:idx val="1"/>
          <c:order val="1"/>
          <c:tx>
            <c:strRef>
              <c:f>debug!$D$1</c:f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debug!$B$2:$B$1000</c:f>
            </c:numRef>
          </c:xVal>
          <c:yVal>
            <c:numRef>
              <c:f>debug!$D$2:$D$1000</c:f>
              <c:numCache/>
            </c:numRef>
          </c:yVal>
        </c:ser>
        <c:ser>
          <c:idx val="2"/>
          <c:order val="2"/>
          <c:tx>
            <c:strRef>
              <c:f>debug!$E$1</c:f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debug!$B$2:$B$1000</c:f>
            </c:numRef>
          </c:xVal>
          <c:yVal>
            <c:numRef>
              <c:f>debug!$E$2:$E$1000</c:f>
              <c:numCache/>
            </c:numRef>
          </c:yVal>
        </c:ser>
        <c:ser>
          <c:idx val="3"/>
          <c:order val="3"/>
          <c:tx>
            <c:strRef>
              <c:f>debug!$F$1</c:f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debug!$B$2:$B$1000</c:f>
            </c:numRef>
          </c:xVal>
          <c:yVal>
            <c:numRef>
              <c:f>debug!$F$2:$F$1000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611901"/>
        <c:axId val="1017895972"/>
      </c:scatterChart>
      <c:valAx>
        <c:axId val="12906119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Example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895972"/>
      </c:valAx>
      <c:valAx>
        <c:axId val="1017895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(discrete counter)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06119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(jump) vs. time (tarjan)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debug!$F$1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debug!$E$2:$E$1000</c:f>
            </c:numRef>
          </c:xVal>
          <c:yVal>
            <c:numRef>
              <c:f>debug!$F$2:$F$1000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673650"/>
        <c:axId val="1212251706"/>
      </c:scatterChart>
      <c:valAx>
        <c:axId val="19756736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(tarjan)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251706"/>
      </c:valAx>
      <c:valAx>
        <c:axId val="1212251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(jump)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5673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(simple) vs. time (tarjan)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debug!$D$1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debug!$E$2:$E$1000</c:f>
            </c:numRef>
          </c:xVal>
          <c:yVal>
            <c:numRef>
              <c:f>debug!$D$2:$D$1000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20478"/>
        <c:axId val="814540346"/>
      </c:scatterChart>
      <c:valAx>
        <c:axId val="3930204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(tarjan)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540346"/>
      </c:valAx>
      <c:valAx>
        <c:axId val="814540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time(simple)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30204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(jump) vs. time (simple)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debug!$F$1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debug!$D$2:$D$1000</c:f>
            </c:numRef>
          </c:xVal>
          <c:yVal>
            <c:numRef>
              <c:f>debug!$F$2:$F$1000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064227"/>
        <c:axId val="1097442754"/>
      </c:scatterChart>
      <c:valAx>
        <c:axId val="21470642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(simple)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7442754"/>
      </c:valAx>
      <c:valAx>
        <c:axId val="1097442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(jump)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70642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352425</xdr:colOff>
      <xdr:row>6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8</xdr:row>
      <xdr:rowOff>9525</xdr:rowOff>
    </xdr:from>
    <xdr:ext cx="5972175" cy="4286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819150</xdr:colOff>
      <xdr:row>58</xdr:row>
      <xdr:rowOff>95250</xdr:rowOff>
    </xdr:from>
    <xdr:ext cx="3905250" cy="3657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819150</xdr:colOff>
      <xdr:row>77</xdr:row>
      <xdr:rowOff>76200</xdr:rowOff>
    </xdr:from>
    <xdr:ext cx="3905250" cy="36576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66675</xdr:colOff>
      <xdr:row>76</xdr:row>
      <xdr:rowOff>152400</xdr:rowOff>
    </xdr:from>
    <xdr:ext cx="3905250" cy="36576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16</xdr:col>
      <xdr:colOff>171450</xdr:colOff>
      <xdr:row>58</xdr:row>
      <xdr:rowOff>161925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31</xdr:col>
      <xdr:colOff>238125</xdr:colOff>
      <xdr:row>6</xdr:row>
      <xdr:rowOff>76200</xdr:rowOff>
    </xdr:from>
    <xdr:ext cx="5257800" cy="38481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304800</xdr:colOff>
      <xdr:row>0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276225</xdr:colOff>
      <xdr:row>19</xdr:row>
      <xdr:rowOff>57150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15</xdr:row>
      <xdr:rowOff>190500</xdr:rowOff>
    </xdr:from>
    <xdr:ext cx="2190750" cy="20478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15</xdr:row>
      <xdr:rowOff>190500</xdr:rowOff>
    </xdr:from>
    <xdr:ext cx="2343150" cy="16002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542925</xdr:colOff>
      <xdr:row>0</xdr:row>
      <xdr:rowOff>85725</xdr:rowOff>
    </xdr:from>
    <xdr:ext cx="3781425" cy="28289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904875</xdr:colOff>
      <xdr:row>2</xdr:row>
      <xdr:rowOff>57150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781050</xdr:colOff>
      <xdr:row>21</xdr:row>
      <xdr:rowOff>133350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904875</xdr:colOff>
      <xdr:row>41</xdr:row>
      <xdr:rowOff>123825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895350</xdr:colOff>
      <xdr:row>60</xdr:row>
      <xdr:rowOff>152400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6.25"/>
  </cols>
  <sheetData>
    <row r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</row>
    <row r="2">
      <c r="A2" s="2" t="str">
        <f>IFERROR(__xludf.DUMMYFUNCTION("TRANSPOSE(SPLIT(SUBSTITUTE(SUBSTITUTE(SUBSTITUTE(SUBSTITUTE(A1, ""[["", """"), ""]]"", """"), ""Some"", """"), ""None"", ""Timeout, Timeout""), ""], ["", false))"),"((130, 9)), ((94, 9)), ((180, 8)), ((107, 9))")</f>
        <v>((130, 9)), ((94, 9)), ((180, 8)), ((107, 9))</v>
      </c>
      <c r="B2" s="2">
        <f>IFERROR(__xludf.DUMMYFUNCTION("SPLIT(A2, ""),( "")"),130.0)</f>
        <v>130</v>
      </c>
      <c r="C2" s="2">
        <f>IFERROR(__xludf.DUMMYFUNCTION("""COMPUTED_VALUE"""),9.0)</f>
        <v>9</v>
      </c>
      <c r="D2" s="2">
        <f>IFERROR(__xludf.DUMMYFUNCTION("""COMPUTED_VALUE"""),94.0)</f>
        <v>94</v>
      </c>
      <c r="E2" s="2">
        <f>IFERROR(__xludf.DUMMYFUNCTION("""COMPUTED_VALUE"""),9.0)</f>
        <v>9</v>
      </c>
      <c r="F2" s="2">
        <f>IFERROR(__xludf.DUMMYFUNCTION("""COMPUTED_VALUE"""),180.0)</f>
        <v>180</v>
      </c>
      <c r="G2" s="2">
        <f>IFERROR(__xludf.DUMMYFUNCTION("""COMPUTED_VALUE"""),8.0)</f>
        <v>8</v>
      </c>
      <c r="H2" s="2">
        <f>IFERROR(__xludf.DUMMYFUNCTION("""COMPUTED_VALUE"""),107.0)</f>
        <v>107</v>
      </c>
      <c r="I2" s="2">
        <f>IFERROR(__xludf.DUMMYFUNCTION("""COMPUTED_VALUE"""),9.0)</f>
        <v>9</v>
      </c>
      <c r="K2" s="2">
        <f t="shared" ref="K2:K53" si="1">G2</f>
        <v>8</v>
      </c>
      <c r="L2" s="2">
        <f t="shared" ref="L2:L53" si="2">B2</f>
        <v>130</v>
      </c>
      <c r="M2" s="2">
        <f t="shared" ref="M2:M53" si="3">D2</f>
        <v>94</v>
      </c>
      <c r="N2" s="2">
        <f t="shared" ref="N2:N53" si="4">F2</f>
        <v>180</v>
      </c>
      <c r="O2" s="2">
        <f t="shared" ref="O2:O53" si="5">H2</f>
        <v>107</v>
      </c>
    </row>
    <row r="3">
      <c r="A3" s="2" t="str">
        <f>IFERROR(__xludf.DUMMYFUNCTION("""COMPUTED_VALUE"""),"((65, 6)), ((80, 6)), ((150, 5)), ((110, 6))")</f>
        <v>((65, 6)), ((80, 6)), ((150, 5)), ((110, 6))</v>
      </c>
      <c r="B3" s="2">
        <f>IFERROR(__xludf.DUMMYFUNCTION("SPLIT(A3, ""),( "")"),65.0)</f>
        <v>65</v>
      </c>
      <c r="C3" s="2">
        <f>IFERROR(__xludf.DUMMYFUNCTION("""COMPUTED_VALUE"""),6.0)</f>
        <v>6</v>
      </c>
      <c r="D3" s="2">
        <f>IFERROR(__xludf.DUMMYFUNCTION("""COMPUTED_VALUE"""),80.0)</f>
        <v>80</v>
      </c>
      <c r="E3" s="2">
        <f>IFERROR(__xludf.DUMMYFUNCTION("""COMPUTED_VALUE"""),6.0)</f>
        <v>6</v>
      </c>
      <c r="F3" s="2">
        <f>IFERROR(__xludf.DUMMYFUNCTION("""COMPUTED_VALUE"""),150.0)</f>
        <v>150</v>
      </c>
      <c r="G3" s="2">
        <f>IFERROR(__xludf.DUMMYFUNCTION("""COMPUTED_VALUE"""),5.0)</f>
        <v>5</v>
      </c>
      <c r="H3" s="2">
        <f>IFERROR(__xludf.DUMMYFUNCTION("""COMPUTED_VALUE"""),110.0)</f>
        <v>110</v>
      </c>
      <c r="I3" s="2">
        <f>IFERROR(__xludf.DUMMYFUNCTION("""COMPUTED_VALUE"""),6.0)</f>
        <v>6</v>
      </c>
      <c r="K3" s="2">
        <f t="shared" si="1"/>
        <v>5</v>
      </c>
      <c r="L3" s="2">
        <f t="shared" si="2"/>
        <v>65</v>
      </c>
      <c r="M3" s="2">
        <f t="shared" si="3"/>
        <v>80</v>
      </c>
      <c r="N3" s="2">
        <f t="shared" si="4"/>
        <v>150</v>
      </c>
      <c r="O3" s="2">
        <f t="shared" si="5"/>
        <v>110</v>
      </c>
    </row>
    <row r="4">
      <c r="A4" s="2" t="str">
        <f>IFERROR(__xludf.DUMMYFUNCTION("""COMPUTED_VALUE"""),"((176, 13)), ((185, 13)), ((406, 12)), ((249, 13))")</f>
        <v>((176, 13)), ((185, 13)), ((406, 12)), ((249, 13))</v>
      </c>
      <c r="B4" s="2">
        <f>IFERROR(__xludf.DUMMYFUNCTION("SPLIT(A4, ""),( "")"),176.0)</f>
        <v>176</v>
      </c>
      <c r="C4" s="2">
        <f>IFERROR(__xludf.DUMMYFUNCTION("""COMPUTED_VALUE"""),13.0)</f>
        <v>13</v>
      </c>
      <c r="D4" s="2">
        <f>IFERROR(__xludf.DUMMYFUNCTION("""COMPUTED_VALUE"""),185.0)</f>
        <v>185</v>
      </c>
      <c r="E4" s="2">
        <f>IFERROR(__xludf.DUMMYFUNCTION("""COMPUTED_VALUE"""),13.0)</f>
        <v>13</v>
      </c>
      <c r="F4" s="2">
        <f>IFERROR(__xludf.DUMMYFUNCTION("""COMPUTED_VALUE"""),406.0)</f>
        <v>406</v>
      </c>
      <c r="G4" s="2">
        <f>IFERROR(__xludf.DUMMYFUNCTION("""COMPUTED_VALUE"""),12.0)</f>
        <v>12</v>
      </c>
      <c r="H4" s="2">
        <f>IFERROR(__xludf.DUMMYFUNCTION("""COMPUTED_VALUE"""),249.0)</f>
        <v>249</v>
      </c>
      <c r="I4" s="2">
        <f>IFERROR(__xludf.DUMMYFUNCTION("""COMPUTED_VALUE"""),13.0)</f>
        <v>13</v>
      </c>
      <c r="K4" s="2">
        <f t="shared" si="1"/>
        <v>12</v>
      </c>
      <c r="L4" s="2">
        <f t="shared" si="2"/>
        <v>176</v>
      </c>
      <c r="M4" s="2">
        <f t="shared" si="3"/>
        <v>185</v>
      </c>
      <c r="N4" s="2">
        <f t="shared" si="4"/>
        <v>406</v>
      </c>
      <c r="O4" s="2">
        <f t="shared" si="5"/>
        <v>249</v>
      </c>
    </row>
    <row r="5">
      <c r="A5" s="2" t="str">
        <f>IFERROR(__xludf.DUMMYFUNCTION("""COMPUTED_VALUE"""),"((114, 7)), ((119, 7)), ((199, 7)), ((180, 7))")</f>
        <v>((114, 7)), ((119, 7)), ((199, 7)), ((180, 7))</v>
      </c>
      <c r="B5" s="2">
        <f>IFERROR(__xludf.DUMMYFUNCTION("SPLIT(A5, ""),( "")"),114.0)</f>
        <v>114</v>
      </c>
      <c r="C5" s="2">
        <f>IFERROR(__xludf.DUMMYFUNCTION("""COMPUTED_VALUE"""),7.0)</f>
        <v>7</v>
      </c>
      <c r="D5" s="2">
        <f>IFERROR(__xludf.DUMMYFUNCTION("""COMPUTED_VALUE"""),119.0)</f>
        <v>119</v>
      </c>
      <c r="E5" s="2">
        <f>IFERROR(__xludf.DUMMYFUNCTION("""COMPUTED_VALUE"""),7.0)</f>
        <v>7</v>
      </c>
      <c r="F5" s="2">
        <f>IFERROR(__xludf.DUMMYFUNCTION("""COMPUTED_VALUE"""),199.0)</f>
        <v>199</v>
      </c>
      <c r="G5" s="2">
        <f>IFERROR(__xludf.DUMMYFUNCTION("""COMPUTED_VALUE"""),7.0)</f>
        <v>7</v>
      </c>
      <c r="H5" s="2">
        <f>IFERROR(__xludf.DUMMYFUNCTION("""COMPUTED_VALUE"""),180.0)</f>
        <v>180</v>
      </c>
      <c r="I5" s="2">
        <f>IFERROR(__xludf.DUMMYFUNCTION("""COMPUTED_VALUE"""),7.0)</f>
        <v>7</v>
      </c>
      <c r="K5" s="2">
        <f t="shared" si="1"/>
        <v>7</v>
      </c>
      <c r="L5" s="2">
        <f t="shared" si="2"/>
        <v>114</v>
      </c>
      <c r="M5" s="2">
        <f t="shared" si="3"/>
        <v>119</v>
      </c>
      <c r="N5" s="2">
        <f t="shared" si="4"/>
        <v>199</v>
      </c>
      <c r="O5" s="2">
        <f t="shared" si="5"/>
        <v>180</v>
      </c>
    </row>
    <row r="6">
      <c r="A6" s="2" t="str">
        <f>IFERROR(__xludf.DUMMYFUNCTION("""COMPUTED_VALUE"""),"((562, 21)), ((357, 21)), ((700, 21)), ((572, 21))")</f>
        <v>((562, 21)), ((357, 21)), ((700, 21)), ((572, 21))</v>
      </c>
      <c r="B6" s="2">
        <f>IFERROR(__xludf.DUMMYFUNCTION("SPLIT(A6, ""),( "")"),562.0)</f>
        <v>562</v>
      </c>
      <c r="C6" s="2">
        <f>IFERROR(__xludf.DUMMYFUNCTION("""COMPUTED_VALUE"""),21.0)</f>
        <v>21</v>
      </c>
      <c r="D6" s="2">
        <f>IFERROR(__xludf.DUMMYFUNCTION("""COMPUTED_VALUE"""),357.0)</f>
        <v>357</v>
      </c>
      <c r="E6" s="2">
        <f>IFERROR(__xludf.DUMMYFUNCTION("""COMPUTED_VALUE"""),21.0)</f>
        <v>21</v>
      </c>
      <c r="F6" s="2">
        <f>IFERROR(__xludf.DUMMYFUNCTION("""COMPUTED_VALUE"""),700.0)</f>
        <v>700</v>
      </c>
      <c r="G6" s="2">
        <f>IFERROR(__xludf.DUMMYFUNCTION("""COMPUTED_VALUE"""),21.0)</f>
        <v>21</v>
      </c>
      <c r="H6" s="2">
        <f>IFERROR(__xludf.DUMMYFUNCTION("""COMPUTED_VALUE"""),572.0)</f>
        <v>572</v>
      </c>
      <c r="I6" s="2">
        <f>IFERROR(__xludf.DUMMYFUNCTION("""COMPUTED_VALUE"""),21.0)</f>
        <v>21</v>
      </c>
      <c r="K6" s="2">
        <f t="shared" si="1"/>
        <v>21</v>
      </c>
      <c r="L6" s="2">
        <f t="shared" si="2"/>
        <v>562</v>
      </c>
      <c r="M6" s="2">
        <f t="shared" si="3"/>
        <v>357</v>
      </c>
      <c r="N6" s="2">
        <f t="shared" si="4"/>
        <v>700</v>
      </c>
      <c r="O6" s="2">
        <f t="shared" si="5"/>
        <v>572</v>
      </c>
    </row>
    <row r="7">
      <c r="A7" s="2" t="str">
        <f>IFERROR(__xludf.DUMMYFUNCTION("""COMPUTED_VALUE"""),"((1712, 41)), ((697, 41)), ((1484, 41)), ((1132, 41))")</f>
        <v>((1712, 41)), ((697, 41)), ((1484, 41)), ((1132, 41))</v>
      </c>
      <c r="B7" s="2">
        <f>IFERROR(__xludf.DUMMYFUNCTION("SPLIT(A7, ""),( "")"),1712.0)</f>
        <v>1712</v>
      </c>
      <c r="C7" s="2">
        <f>IFERROR(__xludf.DUMMYFUNCTION("""COMPUTED_VALUE"""),41.0)</f>
        <v>41</v>
      </c>
      <c r="D7" s="2">
        <f>IFERROR(__xludf.DUMMYFUNCTION("""COMPUTED_VALUE"""),697.0)</f>
        <v>697</v>
      </c>
      <c r="E7" s="2">
        <f>IFERROR(__xludf.DUMMYFUNCTION("""COMPUTED_VALUE"""),41.0)</f>
        <v>41</v>
      </c>
      <c r="F7" s="2">
        <f>IFERROR(__xludf.DUMMYFUNCTION("""COMPUTED_VALUE"""),1484.0)</f>
        <v>1484</v>
      </c>
      <c r="G7" s="2">
        <f>IFERROR(__xludf.DUMMYFUNCTION("""COMPUTED_VALUE"""),41.0)</f>
        <v>41</v>
      </c>
      <c r="H7" s="2">
        <f>IFERROR(__xludf.DUMMYFUNCTION("""COMPUTED_VALUE"""),1132.0)</f>
        <v>1132</v>
      </c>
      <c r="I7" s="2">
        <f>IFERROR(__xludf.DUMMYFUNCTION("""COMPUTED_VALUE"""),41.0)</f>
        <v>41</v>
      </c>
      <c r="K7" s="2">
        <f t="shared" si="1"/>
        <v>41</v>
      </c>
      <c r="L7" s="2">
        <f t="shared" si="2"/>
        <v>1712</v>
      </c>
      <c r="M7" s="2">
        <f t="shared" si="3"/>
        <v>697</v>
      </c>
      <c r="N7" s="2">
        <f t="shared" si="4"/>
        <v>1484</v>
      </c>
      <c r="O7" s="2">
        <f t="shared" si="5"/>
        <v>1132</v>
      </c>
    </row>
    <row r="8">
      <c r="A8" s="2" t="str">
        <f>IFERROR(__xludf.DUMMYFUNCTION("""COMPUTED_VALUE"""),"((32512, 201)), ((3417, 201)), ((8906, 201)), ((5612, 201))")</f>
        <v>((32512, 201)), ((3417, 201)), ((8906, 201)), ((5612, 201))</v>
      </c>
      <c r="B8" s="2">
        <f>IFERROR(__xludf.DUMMYFUNCTION("SPLIT(A8, ""),( "")"),32512.0)</f>
        <v>32512</v>
      </c>
      <c r="C8" s="2">
        <f>IFERROR(__xludf.DUMMYFUNCTION("""COMPUTED_VALUE"""),201.0)</f>
        <v>201</v>
      </c>
      <c r="D8" s="2">
        <f>IFERROR(__xludf.DUMMYFUNCTION("""COMPUTED_VALUE"""),3417.0)</f>
        <v>3417</v>
      </c>
      <c r="E8" s="2">
        <f>IFERROR(__xludf.DUMMYFUNCTION("""COMPUTED_VALUE"""),201.0)</f>
        <v>201</v>
      </c>
      <c r="F8" s="2">
        <f>IFERROR(__xludf.DUMMYFUNCTION("""COMPUTED_VALUE"""),8906.0)</f>
        <v>8906</v>
      </c>
      <c r="G8" s="2">
        <f>IFERROR(__xludf.DUMMYFUNCTION("""COMPUTED_VALUE"""),201.0)</f>
        <v>201</v>
      </c>
      <c r="H8" s="2">
        <f>IFERROR(__xludf.DUMMYFUNCTION("""COMPUTED_VALUE"""),5612.0)</f>
        <v>5612</v>
      </c>
      <c r="I8" s="2">
        <f>IFERROR(__xludf.DUMMYFUNCTION("""COMPUTED_VALUE"""),201.0)</f>
        <v>201</v>
      </c>
      <c r="K8" s="2">
        <f t="shared" si="1"/>
        <v>201</v>
      </c>
      <c r="L8" s="2">
        <f t="shared" si="2"/>
        <v>32512</v>
      </c>
      <c r="M8" s="2">
        <f t="shared" si="3"/>
        <v>3417</v>
      </c>
      <c r="N8" s="2">
        <f t="shared" si="4"/>
        <v>8906</v>
      </c>
      <c r="O8" s="2">
        <f t="shared" si="5"/>
        <v>5612</v>
      </c>
    </row>
    <row r="9">
      <c r="A9" s="2" t="str">
        <f>IFERROR(__xludf.DUMMYFUNCTION("""COMPUTED_VALUE"""),"((3025012, 2001)), ((34017, 2001)), ((147028, 2001)), ((56012, 2001))")</f>
        <v>((3025012, 2001)), ((34017, 2001)), ((147028, 2001)), ((56012, 2001))</v>
      </c>
      <c r="B9" s="2">
        <f>IFERROR(__xludf.DUMMYFUNCTION("SPLIT(A9, ""),( "")"),3025012.0)</f>
        <v>3025012</v>
      </c>
      <c r="C9" s="2">
        <f>IFERROR(__xludf.DUMMYFUNCTION("""COMPUTED_VALUE"""),2001.0)</f>
        <v>2001</v>
      </c>
      <c r="D9" s="2">
        <f>IFERROR(__xludf.DUMMYFUNCTION("""COMPUTED_VALUE"""),34017.0)</f>
        <v>34017</v>
      </c>
      <c r="E9" s="2">
        <f>IFERROR(__xludf.DUMMYFUNCTION("""COMPUTED_VALUE"""),2001.0)</f>
        <v>2001</v>
      </c>
      <c r="F9" s="2">
        <f>IFERROR(__xludf.DUMMYFUNCTION("""COMPUTED_VALUE"""),147028.0)</f>
        <v>147028</v>
      </c>
      <c r="G9" s="2">
        <f>IFERROR(__xludf.DUMMYFUNCTION("""COMPUTED_VALUE"""),2001.0)</f>
        <v>2001</v>
      </c>
      <c r="H9" s="2">
        <f>IFERROR(__xludf.DUMMYFUNCTION("""COMPUTED_VALUE"""),56012.0)</f>
        <v>56012</v>
      </c>
      <c r="I9" s="2">
        <f>IFERROR(__xludf.DUMMYFUNCTION("""COMPUTED_VALUE"""),2001.0)</f>
        <v>2001</v>
      </c>
      <c r="K9" s="2">
        <f t="shared" si="1"/>
        <v>2001</v>
      </c>
      <c r="L9" s="2">
        <f t="shared" si="2"/>
        <v>3025012</v>
      </c>
      <c r="M9" s="2">
        <f t="shared" si="3"/>
        <v>34017</v>
      </c>
      <c r="N9" s="2">
        <f t="shared" si="4"/>
        <v>147028</v>
      </c>
      <c r="O9" s="2">
        <f t="shared" si="5"/>
        <v>56012</v>
      </c>
    </row>
    <row r="10">
      <c r="A10" s="2" t="str">
        <f>IFERROR(__xludf.DUMMYFUNCTION("""COMPUTED_VALUE"""),"Timeout, Timeout, ((340017, 20001)), ((3297129, 20001)), ((560012, 20001))")</f>
        <v>Timeout, Timeout, ((340017, 20001)), ((3297129, 20001)), ((560012, 20001))</v>
      </c>
      <c r="B10" s="2" t="str">
        <f>IFERROR(__xludf.DUMMYFUNCTION("SPLIT(A10, ""),( "")"),"Timeout")</f>
        <v>Timeout</v>
      </c>
      <c r="C10" s="2" t="str">
        <f>IFERROR(__xludf.DUMMYFUNCTION("""COMPUTED_VALUE"""),"Timeout")</f>
        <v>Timeout</v>
      </c>
      <c r="D10" s="2">
        <f>IFERROR(__xludf.DUMMYFUNCTION("""COMPUTED_VALUE"""),340017.0)</f>
        <v>340017</v>
      </c>
      <c r="E10" s="2">
        <f>IFERROR(__xludf.DUMMYFUNCTION("""COMPUTED_VALUE"""),20001.0)</f>
        <v>20001</v>
      </c>
      <c r="F10" s="2">
        <f>IFERROR(__xludf.DUMMYFUNCTION("""COMPUTED_VALUE"""),3297129.0)</f>
        <v>3297129</v>
      </c>
      <c r="G10" s="2">
        <f>IFERROR(__xludf.DUMMYFUNCTION("""COMPUTED_VALUE"""),20001.0)</f>
        <v>20001</v>
      </c>
      <c r="H10" s="2">
        <f>IFERROR(__xludf.DUMMYFUNCTION("""COMPUTED_VALUE"""),560012.0)</f>
        <v>560012</v>
      </c>
      <c r="I10" s="2">
        <f>IFERROR(__xludf.DUMMYFUNCTION("""COMPUTED_VALUE"""),20001.0)</f>
        <v>20001</v>
      </c>
      <c r="K10" s="2">
        <f t="shared" si="1"/>
        <v>20001</v>
      </c>
      <c r="L10" s="2" t="str">
        <f t="shared" si="2"/>
        <v>Timeout</v>
      </c>
      <c r="M10" s="2">
        <f t="shared" si="3"/>
        <v>340017</v>
      </c>
      <c r="N10" s="2">
        <f t="shared" si="4"/>
        <v>3297129</v>
      </c>
      <c r="O10" s="2">
        <f t="shared" si="5"/>
        <v>560012</v>
      </c>
    </row>
    <row r="11">
      <c r="A11" s="2" t="str">
        <f>IFERROR(__xludf.DUMMYFUNCTION("""COMPUTED_VALUE"""),"((91, 7)), ((74, 7)), ((160, 7)), ((90, 7))")</f>
        <v>((91, 7)), ((74, 7)), ((160, 7)), ((90, 7))</v>
      </c>
      <c r="B11" s="2">
        <f>IFERROR(__xludf.DUMMYFUNCTION("SPLIT(A11, ""),( "")"),91.0)</f>
        <v>91</v>
      </c>
      <c r="C11" s="2">
        <f>IFERROR(__xludf.DUMMYFUNCTION("""COMPUTED_VALUE"""),7.0)</f>
        <v>7</v>
      </c>
      <c r="D11" s="2">
        <f>IFERROR(__xludf.DUMMYFUNCTION("""COMPUTED_VALUE"""),74.0)</f>
        <v>74</v>
      </c>
      <c r="E11" s="2">
        <f>IFERROR(__xludf.DUMMYFUNCTION("""COMPUTED_VALUE"""),7.0)</f>
        <v>7</v>
      </c>
      <c r="F11" s="2">
        <f>IFERROR(__xludf.DUMMYFUNCTION("""COMPUTED_VALUE"""),160.0)</f>
        <v>160</v>
      </c>
      <c r="G11" s="2">
        <f>IFERROR(__xludf.DUMMYFUNCTION("""COMPUTED_VALUE"""),7.0)</f>
        <v>7</v>
      </c>
      <c r="H11" s="2">
        <f>IFERROR(__xludf.DUMMYFUNCTION("""COMPUTED_VALUE"""),90.0)</f>
        <v>90</v>
      </c>
      <c r="I11" s="2">
        <f>IFERROR(__xludf.DUMMYFUNCTION("""COMPUTED_VALUE"""),7.0)</f>
        <v>7</v>
      </c>
      <c r="K11" s="2">
        <f t="shared" si="1"/>
        <v>7</v>
      </c>
      <c r="L11" s="2">
        <f t="shared" si="2"/>
        <v>91</v>
      </c>
      <c r="M11" s="2">
        <f t="shared" si="3"/>
        <v>74</v>
      </c>
      <c r="N11" s="2">
        <f t="shared" si="4"/>
        <v>160</v>
      </c>
      <c r="O11" s="2">
        <f t="shared" si="5"/>
        <v>90</v>
      </c>
    </row>
    <row r="12">
      <c r="A12" s="2" t="str">
        <f>IFERROR(__xludf.DUMMYFUNCTION("""COMPUTED_VALUE"""),"((504, 21)), ((242, 21)), ((591, 21)), ((293, 21))")</f>
        <v>((504, 21)), ((242, 21)), ((591, 21)), ((293, 21))</v>
      </c>
      <c r="B12" s="2">
        <f>IFERROR(__xludf.DUMMYFUNCTION("SPLIT(A12, ""),( "")"),504.0)</f>
        <v>504</v>
      </c>
      <c r="C12" s="2">
        <f>IFERROR(__xludf.DUMMYFUNCTION("""COMPUTED_VALUE"""),21.0)</f>
        <v>21</v>
      </c>
      <c r="D12" s="2">
        <f>IFERROR(__xludf.DUMMYFUNCTION("""COMPUTED_VALUE"""),242.0)</f>
        <v>242</v>
      </c>
      <c r="E12" s="2">
        <f>IFERROR(__xludf.DUMMYFUNCTION("""COMPUTED_VALUE"""),21.0)</f>
        <v>21</v>
      </c>
      <c r="F12" s="2">
        <f>IFERROR(__xludf.DUMMYFUNCTION("""COMPUTED_VALUE"""),591.0)</f>
        <v>591</v>
      </c>
      <c r="G12" s="2">
        <f>IFERROR(__xludf.DUMMYFUNCTION("""COMPUTED_VALUE"""),21.0)</f>
        <v>21</v>
      </c>
      <c r="H12" s="2">
        <f>IFERROR(__xludf.DUMMYFUNCTION("""COMPUTED_VALUE"""),293.0)</f>
        <v>293</v>
      </c>
      <c r="I12" s="2">
        <f>IFERROR(__xludf.DUMMYFUNCTION("""COMPUTED_VALUE"""),21.0)</f>
        <v>21</v>
      </c>
      <c r="K12" s="2">
        <f t="shared" si="1"/>
        <v>21</v>
      </c>
      <c r="L12" s="2">
        <f t="shared" si="2"/>
        <v>504</v>
      </c>
      <c r="M12" s="2">
        <f t="shared" si="3"/>
        <v>242</v>
      </c>
      <c r="N12" s="2">
        <f t="shared" si="4"/>
        <v>591</v>
      </c>
      <c r="O12" s="2">
        <f t="shared" si="5"/>
        <v>293</v>
      </c>
    </row>
    <row r="13">
      <c r="A13" s="2" t="str">
        <f>IFERROR(__xludf.DUMMYFUNCTION("""COMPUTED_VALUE"""),"((1604, 41)), ((482, 41)), ((1275, 41)), ((583, 41))")</f>
        <v>((1604, 41)), ((482, 41)), ((1275, 41)), ((583, 41))</v>
      </c>
      <c r="B13" s="2">
        <f>IFERROR(__xludf.DUMMYFUNCTION("SPLIT(A13, ""),( "")"),1604.0)</f>
        <v>1604</v>
      </c>
      <c r="C13" s="2">
        <f>IFERROR(__xludf.DUMMYFUNCTION("""COMPUTED_VALUE"""),41.0)</f>
        <v>41</v>
      </c>
      <c r="D13" s="2">
        <f>IFERROR(__xludf.DUMMYFUNCTION("""COMPUTED_VALUE"""),482.0)</f>
        <v>482</v>
      </c>
      <c r="E13" s="2">
        <f>IFERROR(__xludf.DUMMYFUNCTION("""COMPUTED_VALUE"""),41.0)</f>
        <v>41</v>
      </c>
      <c r="F13" s="2">
        <f>IFERROR(__xludf.DUMMYFUNCTION("""COMPUTED_VALUE"""),1275.0)</f>
        <v>1275</v>
      </c>
      <c r="G13" s="2">
        <f>IFERROR(__xludf.DUMMYFUNCTION("""COMPUTED_VALUE"""),41.0)</f>
        <v>41</v>
      </c>
      <c r="H13" s="2">
        <f>IFERROR(__xludf.DUMMYFUNCTION("""COMPUTED_VALUE"""),583.0)</f>
        <v>583</v>
      </c>
      <c r="I13" s="2">
        <f>IFERROR(__xludf.DUMMYFUNCTION("""COMPUTED_VALUE"""),41.0)</f>
        <v>41</v>
      </c>
      <c r="K13" s="2">
        <f t="shared" si="1"/>
        <v>41</v>
      </c>
      <c r="L13" s="2">
        <f t="shared" si="2"/>
        <v>1604</v>
      </c>
      <c r="M13" s="2">
        <f t="shared" si="3"/>
        <v>482</v>
      </c>
      <c r="N13" s="2">
        <f t="shared" si="4"/>
        <v>1275</v>
      </c>
      <c r="O13" s="2">
        <f t="shared" si="5"/>
        <v>583</v>
      </c>
    </row>
    <row r="14">
      <c r="A14" s="2" t="str">
        <f>IFERROR(__xludf.DUMMYFUNCTION("""COMPUTED_VALUE"""),"((32004, 201)), ((2402, 201)), ((7897, 201)), ((2903, 201))")</f>
        <v>((32004, 201)), ((2402, 201)), ((7897, 201)), ((2903, 201))</v>
      </c>
      <c r="B14" s="2">
        <f>IFERROR(__xludf.DUMMYFUNCTION("SPLIT(A14, ""),( "")"),32004.0)</f>
        <v>32004</v>
      </c>
      <c r="C14" s="2">
        <f>IFERROR(__xludf.DUMMYFUNCTION("""COMPUTED_VALUE"""),201.0)</f>
        <v>201</v>
      </c>
      <c r="D14" s="2">
        <f>IFERROR(__xludf.DUMMYFUNCTION("""COMPUTED_VALUE"""),2402.0)</f>
        <v>2402</v>
      </c>
      <c r="E14" s="2">
        <f>IFERROR(__xludf.DUMMYFUNCTION("""COMPUTED_VALUE"""),201.0)</f>
        <v>201</v>
      </c>
      <c r="F14" s="2">
        <f>IFERROR(__xludf.DUMMYFUNCTION("""COMPUTED_VALUE"""),7897.0)</f>
        <v>7897</v>
      </c>
      <c r="G14" s="2">
        <f>IFERROR(__xludf.DUMMYFUNCTION("""COMPUTED_VALUE"""),201.0)</f>
        <v>201</v>
      </c>
      <c r="H14" s="2">
        <f>IFERROR(__xludf.DUMMYFUNCTION("""COMPUTED_VALUE"""),2903.0)</f>
        <v>2903</v>
      </c>
      <c r="I14" s="2">
        <f>IFERROR(__xludf.DUMMYFUNCTION("""COMPUTED_VALUE"""),201.0)</f>
        <v>201</v>
      </c>
      <c r="K14" s="2">
        <f t="shared" si="1"/>
        <v>201</v>
      </c>
      <c r="L14" s="2">
        <f t="shared" si="2"/>
        <v>32004</v>
      </c>
      <c r="M14" s="2">
        <f t="shared" si="3"/>
        <v>2402</v>
      </c>
      <c r="N14" s="2">
        <f t="shared" si="4"/>
        <v>7897</v>
      </c>
      <c r="O14" s="2">
        <f t="shared" si="5"/>
        <v>2903</v>
      </c>
    </row>
    <row r="15">
      <c r="A15" s="2" t="str">
        <f>IFERROR(__xludf.DUMMYFUNCTION("""COMPUTED_VALUE"""),"((3020004, 2001)), ((24002, 2001)), ((137019, 2001)), ((29003, 2001))")</f>
        <v>((3020004, 2001)), ((24002, 2001)), ((137019, 2001)), ((29003, 2001))</v>
      </c>
      <c r="B15" s="2">
        <f>IFERROR(__xludf.DUMMYFUNCTION("SPLIT(A15, ""),( "")"),3020004.0)</f>
        <v>3020004</v>
      </c>
      <c r="C15" s="2">
        <f>IFERROR(__xludf.DUMMYFUNCTION("""COMPUTED_VALUE"""),2001.0)</f>
        <v>2001</v>
      </c>
      <c r="D15" s="2">
        <f>IFERROR(__xludf.DUMMYFUNCTION("""COMPUTED_VALUE"""),24002.0)</f>
        <v>24002</v>
      </c>
      <c r="E15" s="2">
        <f>IFERROR(__xludf.DUMMYFUNCTION("""COMPUTED_VALUE"""),2001.0)</f>
        <v>2001</v>
      </c>
      <c r="F15" s="2">
        <f>IFERROR(__xludf.DUMMYFUNCTION("""COMPUTED_VALUE"""),137019.0)</f>
        <v>137019</v>
      </c>
      <c r="G15" s="2">
        <f>IFERROR(__xludf.DUMMYFUNCTION("""COMPUTED_VALUE"""),2001.0)</f>
        <v>2001</v>
      </c>
      <c r="H15" s="2">
        <f>IFERROR(__xludf.DUMMYFUNCTION("""COMPUTED_VALUE"""),29003.0)</f>
        <v>29003</v>
      </c>
      <c r="I15" s="2">
        <f>IFERROR(__xludf.DUMMYFUNCTION("""COMPUTED_VALUE"""),2001.0)</f>
        <v>2001</v>
      </c>
      <c r="K15" s="2">
        <f t="shared" si="1"/>
        <v>2001</v>
      </c>
      <c r="L15" s="2">
        <f t="shared" si="2"/>
        <v>3020004</v>
      </c>
      <c r="M15" s="2">
        <f t="shared" si="3"/>
        <v>24002</v>
      </c>
      <c r="N15" s="2">
        <f t="shared" si="4"/>
        <v>137019</v>
      </c>
      <c r="O15" s="2">
        <f t="shared" si="5"/>
        <v>29003</v>
      </c>
    </row>
    <row r="16">
      <c r="A16" s="2" t="str">
        <f>IFERROR(__xludf.DUMMYFUNCTION("""COMPUTED_VALUE"""),"Timeout, Timeout, ((240002, 20001)), ((3197120, 20001)), ((290003, 20001))")</f>
        <v>Timeout, Timeout, ((240002, 20001)), ((3197120, 20001)), ((290003, 20001))</v>
      </c>
      <c r="B16" s="2" t="str">
        <f>IFERROR(__xludf.DUMMYFUNCTION("SPLIT(A16, ""),( "")"),"Timeout")</f>
        <v>Timeout</v>
      </c>
      <c r="C16" s="2" t="str">
        <f>IFERROR(__xludf.DUMMYFUNCTION("""COMPUTED_VALUE"""),"Timeout")</f>
        <v>Timeout</v>
      </c>
      <c r="D16" s="2">
        <f>IFERROR(__xludf.DUMMYFUNCTION("""COMPUTED_VALUE"""),240002.0)</f>
        <v>240002</v>
      </c>
      <c r="E16" s="2">
        <f>IFERROR(__xludf.DUMMYFUNCTION("""COMPUTED_VALUE"""),20001.0)</f>
        <v>20001</v>
      </c>
      <c r="F16" s="2">
        <f>IFERROR(__xludf.DUMMYFUNCTION("""COMPUTED_VALUE"""),3197120.0)</f>
        <v>3197120</v>
      </c>
      <c r="G16" s="2">
        <f>IFERROR(__xludf.DUMMYFUNCTION("""COMPUTED_VALUE"""),20001.0)</f>
        <v>20001</v>
      </c>
      <c r="H16" s="2">
        <f>IFERROR(__xludf.DUMMYFUNCTION("""COMPUTED_VALUE"""),290003.0)</f>
        <v>290003</v>
      </c>
      <c r="I16" s="2">
        <f>IFERROR(__xludf.DUMMYFUNCTION("""COMPUTED_VALUE"""),20001.0)</f>
        <v>20001</v>
      </c>
      <c r="K16" s="2">
        <f t="shared" si="1"/>
        <v>20001</v>
      </c>
      <c r="L16" s="2" t="str">
        <f t="shared" si="2"/>
        <v>Timeout</v>
      </c>
      <c r="M16" s="2">
        <f t="shared" si="3"/>
        <v>240002</v>
      </c>
      <c r="N16" s="2">
        <f t="shared" si="4"/>
        <v>3197120</v>
      </c>
      <c r="O16" s="2">
        <f t="shared" si="5"/>
        <v>290003</v>
      </c>
    </row>
    <row r="17">
      <c r="A17" s="2" t="str">
        <f>IFERROR(__xludf.DUMMYFUNCTION("""COMPUTED_VALUE"""),"((108, 8)), ((115, 8)), ((274, 8)), ((119, 8))")</f>
        <v>((108, 8)), ((115, 8)), ((274, 8)), ((119, 8))</v>
      </c>
      <c r="B17" s="2">
        <f>IFERROR(__xludf.DUMMYFUNCTION("SPLIT(A17, ""),( "")"),108.0)</f>
        <v>108</v>
      </c>
      <c r="C17" s="2">
        <f>IFERROR(__xludf.DUMMYFUNCTION("""COMPUTED_VALUE"""),8.0)</f>
        <v>8</v>
      </c>
      <c r="D17" s="2">
        <f>IFERROR(__xludf.DUMMYFUNCTION("""COMPUTED_VALUE"""),115.0)</f>
        <v>115</v>
      </c>
      <c r="E17" s="2">
        <f>IFERROR(__xludf.DUMMYFUNCTION("""COMPUTED_VALUE"""),8.0)</f>
        <v>8</v>
      </c>
      <c r="F17" s="2">
        <f>IFERROR(__xludf.DUMMYFUNCTION("""COMPUTED_VALUE"""),274.0)</f>
        <v>274</v>
      </c>
      <c r="G17" s="2">
        <f>IFERROR(__xludf.DUMMYFUNCTION("""COMPUTED_VALUE"""),8.0)</f>
        <v>8</v>
      </c>
      <c r="H17" s="2">
        <f>IFERROR(__xludf.DUMMYFUNCTION("""COMPUTED_VALUE"""),119.0)</f>
        <v>119</v>
      </c>
      <c r="I17" s="2">
        <f>IFERROR(__xludf.DUMMYFUNCTION("""COMPUTED_VALUE"""),8.0)</f>
        <v>8</v>
      </c>
      <c r="K17" s="2">
        <f t="shared" si="1"/>
        <v>8</v>
      </c>
      <c r="L17" s="2">
        <f t="shared" si="2"/>
        <v>108</v>
      </c>
      <c r="M17" s="2">
        <f t="shared" si="3"/>
        <v>115</v>
      </c>
      <c r="N17" s="2">
        <f t="shared" si="4"/>
        <v>274</v>
      </c>
      <c r="O17" s="2">
        <f t="shared" si="5"/>
        <v>119</v>
      </c>
    </row>
    <row r="18">
      <c r="A18" s="2" t="str">
        <f>IFERROR(__xludf.DUMMYFUNCTION("""COMPUTED_VALUE"""),"((556, 22)), ((388, 22)), ((897, 22)), ((322, 22))")</f>
        <v>((556, 22)), ((388, 22)), ((897, 22)), ((322, 22))</v>
      </c>
      <c r="B18" s="2">
        <f>IFERROR(__xludf.DUMMYFUNCTION("SPLIT(A18, ""),( "")"),556.0)</f>
        <v>556</v>
      </c>
      <c r="C18" s="2">
        <f>IFERROR(__xludf.DUMMYFUNCTION("""COMPUTED_VALUE"""),22.0)</f>
        <v>22</v>
      </c>
      <c r="D18" s="2">
        <f>IFERROR(__xludf.DUMMYFUNCTION("""COMPUTED_VALUE"""),388.0)</f>
        <v>388</v>
      </c>
      <c r="E18" s="2">
        <f>IFERROR(__xludf.DUMMYFUNCTION("""COMPUTED_VALUE"""),22.0)</f>
        <v>22</v>
      </c>
      <c r="F18" s="2">
        <f>IFERROR(__xludf.DUMMYFUNCTION("""COMPUTED_VALUE"""),897.0)</f>
        <v>897</v>
      </c>
      <c r="G18" s="2">
        <f>IFERROR(__xludf.DUMMYFUNCTION("""COMPUTED_VALUE"""),22.0)</f>
        <v>22</v>
      </c>
      <c r="H18" s="2">
        <f>IFERROR(__xludf.DUMMYFUNCTION("""COMPUTED_VALUE"""),322.0)</f>
        <v>322</v>
      </c>
      <c r="I18" s="2">
        <f>IFERROR(__xludf.DUMMYFUNCTION("""COMPUTED_VALUE"""),22.0)</f>
        <v>22</v>
      </c>
      <c r="K18" s="2">
        <f t="shared" si="1"/>
        <v>22</v>
      </c>
      <c r="L18" s="2">
        <f t="shared" si="2"/>
        <v>556</v>
      </c>
      <c r="M18" s="2">
        <f t="shared" si="3"/>
        <v>388</v>
      </c>
      <c r="N18" s="2">
        <f t="shared" si="4"/>
        <v>897</v>
      </c>
      <c r="O18" s="2">
        <f t="shared" si="5"/>
        <v>322</v>
      </c>
    </row>
    <row r="19">
      <c r="A19" s="2" t="str">
        <f>IFERROR(__xludf.DUMMYFUNCTION("""COMPUTED_VALUE"""),"((1706, 42)), ((774, 42)), ((1823, 42)), ((612, 42))")</f>
        <v>((1706, 42)), ((774, 42)), ((1823, 42)), ((612, 42))</v>
      </c>
      <c r="B19" s="2">
        <f>IFERROR(__xludf.DUMMYFUNCTION("SPLIT(A19, ""),( "")"),1706.0)</f>
        <v>1706</v>
      </c>
      <c r="C19" s="2">
        <f>IFERROR(__xludf.DUMMYFUNCTION("""COMPUTED_VALUE"""),42.0)</f>
        <v>42</v>
      </c>
      <c r="D19" s="2">
        <f>IFERROR(__xludf.DUMMYFUNCTION("""COMPUTED_VALUE"""),774.0)</f>
        <v>774</v>
      </c>
      <c r="E19" s="2">
        <f>IFERROR(__xludf.DUMMYFUNCTION("""COMPUTED_VALUE"""),42.0)</f>
        <v>42</v>
      </c>
      <c r="F19" s="2">
        <f>IFERROR(__xludf.DUMMYFUNCTION("""COMPUTED_VALUE"""),1823.0)</f>
        <v>1823</v>
      </c>
      <c r="G19" s="2">
        <f>IFERROR(__xludf.DUMMYFUNCTION("""COMPUTED_VALUE"""),42.0)</f>
        <v>42</v>
      </c>
      <c r="H19" s="2">
        <f>IFERROR(__xludf.DUMMYFUNCTION("""COMPUTED_VALUE"""),612.0)</f>
        <v>612</v>
      </c>
      <c r="I19" s="2">
        <f>IFERROR(__xludf.DUMMYFUNCTION("""COMPUTED_VALUE"""),42.0)</f>
        <v>42</v>
      </c>
      <c r="K19" s="2">
        <f t="shared" si="1"/>
        <v>42</v>
      </c>
      <c r="L19" s="2">
        <f t="shared" si="2"/>
        <v>1706</v>
      </c>
      <c r="M19" s="2">
        <f t="shared" si="3"/>
        <v>774</v>
      </c>
      <c r="N19" s="2">
        <f t="shared" si="4"/>
        <v>1823</v>
      </c>
      <c r="O19" s="2">
        <f t="shared" si="5"/>
        <v>612</v>
      </c>
    </row>
    <row r="20">
      <c r="A20" s="2" t="str">
        <f>IFERROR(__xludf.DUMMYFUNCTION("""COMPUTED_VALUE"""),"((32506, 202)), ((3873, 202)), ((10509, 202)), ((2932, 202))")</f>
        <v>((32506, 202)), ((3873, 202)), ((10509, 202)), ((2932, 202))</v>
      </c>
      <c r="B20" s="2">
        <f>IFERROR(__xludf.DUMMYFUNCTION("SPLIT(A20, ""),( "")"),32506.0)</f>
        <v>32506</v>
      </c>
      <c r="C20" s="2">
        <f>IFERROR(__xludf.DUMMYFUNCTION("""COMPUTED_VALUE"""),202.0)</f>
        <v>202</v>
      </c>
      <c r="D20" s="2">
        <f>IFERROR(__xludf.DUMMYFUNCTION("""COMPUTED_VALUE"""),3873.0)</f>
        <v>3873</v>
      </c>
      <c r="E20" s="2">
        <f>IFERROR(__xludf.DUMMYFUNCTION("""COMPUTED_VALUE"""),202.0)</f>
        <v>202</v>
      </c>
      <c r="F20" s="2">
        <f>IFERROR(__xludf.DUMMYFUNCTION("""COMPUTED_VALUE"""),10509.0)</f>
        <v>10509</v>
      </c>
      <c r="G20" s="2">
        <f>IFERROR(__xludf.DUMMYFUNCTION("""COMPUTED_VALUE"""),202.0)</f>
        <v>202</v>
      </c>
      <c r="H20" s="2">
        <f>IFERROR(__xludf.DUMMYFUNCTION("""COMPUTED_VALUE"""),2932.0)</f>
        <v>2932</v>
      </c>
      <c r="I20" s="2">
        <f>IFERROR(__xludf.DUMMYFUNCTION("""COMPUTED_VALUE"""),202.0)</f>
        <v>202</v>
      </c>
      <c r="K20" s="2">
        <f t="shared" si="1"/>
        <v>202</v>
      </c>
      <c r="L20" s="2">
        <f t="shared" si="2"/>
        <v>32506</v>
      </c>
      <c r="M20" s="2">
        <f t="shared" si="3"/>
        <v>3873</v>
      </c>
      <c r="N20" s="2">
        <f t="shared" si="4"/>
        <v>10509</v>
      </c>
      <c r="O20" s="2">
        <f t="shared" si="5"/>
        <v>2932</v>
      </c>
    </row>
    <row r="21">
      <c r="A21" s="2" t="str">
        <f>IFERROR(__xludf.DUMMYFUNCTION("""COMPUTED_VALUE"""),"((3025006, 2002)), ((38855, 2002)), ((163193, 2002)), ((29032, 2002))")</f>
        <v>((3025006, 2002)), ((38855, 2002)), ((163193, 2002)), ((29032, 2002))</v>
      </c>
      <c r="B21" s="2">
        <f>IFERROR(__xludf.DUMMYFUNCTION("SPLIT(A21, ""),( "")"),3025006.0)</f>
        <v>3025006</v>
      </c>
      <c r="C21" s="2">
        <f>IFERROR(__xludf.DUMMYFUNCTION("""COMPUTED_VALUE"""),2002.0)</f>
        <v>2002</v>
      </c>
      <c r="D21" s="2">
        <f>IFERROR(__xludf.DUMMYFUNCTION("""COMPUTED_VALUE"""),38855.0)</f>
        <v>38855</v>
      </c>
      <c r="E21" s="2">
        <f>IFERROR(__xludf.DUMMYFUNCTION("""COMPUTED_VALUE"""),2002.0)</f>
        <v>2002</v>
      </c>
      <c r="F21" s="2">
        <f>IFERROR(__xludf.DUMMYFUNCTION("""COMPUTED_VALUE"""),163193.0)</f>
        <v>163193</v>
      </c>
      <c r="G21" s="2">
        <f>IFERROR(__xludf.DUMMYFUNCTION("""COMPUTED_VALUE"""),2002.0)</f>
        <v>2002</v>
      </c>
      <c r="H21" s="2">
        <f>IFERROR(__xludf.DUMMYFUNCTION("""COMPUTED_VALUE"""),29032.0)</f>
        <v>29032</v>
      </c>
      <c r="I21" s="2">
        <f>IFERROR(__xludf.DUMMYFUNCTION("""COMPUTED_VALUE"""),2002.0)</f>
        <v>2002</v>
      </c>
      <c r="K21" s="2">
        <f t="shared" si="1"/>
        <v>2002</v>
      </c>
      <c r="L21" s="2">
        <f t="shared" si="2"/>
        <v>3025006</v>
      </c>
      <c r="M21" s="2">
        <f t="shared" si="3"/>
        <v>38855</v>
      </c>
      <c r="N21" s="2">
        <f t="shared" si="4"/>
        <v>163193</v>
      </c>
      <c r="O21" s="2">
        <f t="shared" si="5"/>
        <v>29032</v>
      </c>
    </row>
    <row r="22">
      <c r="A22" s="2" t="str">
        <f>IFERROR(__xludf.DUMMYFUNCTION("""COMPUTED_VALUE"""),"Timeout, Timeout, ((385462, 20002)), ((3455968, 20002)), ((290032, 20002))")</f>
        <v>Timeout, Timeout, ((385462, 20002)), ((3455968, 20002)), ((290032, 20002))</v>
      </c>
      <c r="B22" s="2" t="str">
        <f>IFERROR(__xludf.DUMMYFUNCTION("SPLIT(A22, ""),( "")"),"Timeout")</f>
        <v>Timeout</v>
      </c>
      <c r="C22" s="2" t="str">
        <f>IFERROR(__xludf.DUMMYFUNCTION("""COMPUTED_VALUE"""),"Timeout")</f>
        <v>Timeout</v>
      </c>
      <c r="D22" s="2">
        <f>IFERROR(__xludf.DUMMYFUNCTION("""COMPUTED_VALUE"""),385462.0)</f>
        <v>385462</v>
      </c>
      <c r="E22" s="2">
        <f>IFERROR(__xludf.DUMMYFUNCTION("""COMPUTED_VALUE"""),20002.0)</f>
        <v>20002</v>
      </c>
      <c r="F22" s="2">
        <f>IFERROR(__xludf.DUMMYFUNCTION("""COMPUTED_VALUE"""),3455968.0)</f>
        <v>3455968</v>
      </c>
      <c r="G22" s="2">
        <f>IFERROR(__xludf.DUMMYFUNCTION("""COMPUTED_VALUE"""),20002.0)</f>
        <v>20002</v>
      </c>
      <c r="H22" s="2">
        <f>IFERROR(__xludf.DUMMYFUNCTION("""COMPUTED_VALUE"""),290032.0)</f>
        <v>290032</v>
      </c>
      <c r="I22" s="2">
        <f>IFERROR(__xludf.DUMMYFUNCTION("""COMPUTED_VALUE"""),20002.0)</f>
        <v>20002</v>
      </c>
      <c r="K22" s="2">
        <f t="shared" si="1"/>
        <v>20002</v>
      </c>
      <c r="L22" s="2" t="str">
        <f t="shared" si="2"/>
        <v>Timeout</v>
      </c>
      <c r="M22" s="2">
        <f t="shared" si="3"/>
        <v>385462</v>
      </c>
      <c r="N22" s="2">
        <f t="shared" si="4"/>
        <v>3455968</v>
      </c>
      <c r="O22" s="2">
        <f t="shared" si="5"/>
        <v>290032</v>
      </c>
    </row>
    <row r="23">
      <c r="A23" s="2" t="str">
        <f>IFERROR(__xludf.DUMMYFUNCTION("""COMPUTED_VALUE"""),"((80, 6)), ((107, 6)), ((227, 6)), ((173, 6))")</f>
        <v>((80, 6)), ((107, 6)), ((227, 6)), ((173, 6))</v>
      </c>
      <c r="B23" s="2">
        <f>IFERROR(__xludf.DUMMYFUNCTION("SPLIT(A23, ""),( "")"),80.0)</f>
        <v>80</v>
      </c>
      <c r="C23" s="2">
        <f>IFERROR(__xludf.DUMMYFUNCTION("""COMPUTED_VALUE"""),6.0)</f>
        <v>6</v>
      </c>
      <c r="D23" s="2">
        <f>IFERROR(__xludf.DUMMYFUNCTION("""COMPUTED_VALUE"""),107.0)</f>
        <v>107</v>
      </c>
      <c r="E23" s="2">
        <f>IFERROR(__xludf.DUMMYFUNCTION("""COMPUTED_VALUE"""),6.0)</f>
        <v>6</v>
      </c>
      <c r="F23" s="2">
        <f>IFERROR(__xludf.DUMMYFUNCTION("""COMPUTED_VALUE"""),227.0)</f>
        <v>227</v>
      </c>
      <c r="G23" s="2">
        <f>IFERROR(__xludf.DUMMYFUNCTION("""COMPUTED_VALUE"""),6.0)</f>
        <v>6</v>
      </c>
      <c r="H23" s="2">
        <f>IFERROR(__xludf.DUMMYFUNCTION("""COMPUTED_VALUE"""),173.0)</f>
        <v>173</v>
      </c>
      <c r="I23" s="2">
        <f>IFERROR(__xludf.DUMMYFUNCTION("""COMPUTED_VALUE"""),6.0)</f>
        <v>6</v>
      </c>
      <c r="K23" s="2">
        <f t="shared" si="1"/>
        <v>6</v>
      </c>
      <c r="L23" s="2">
        <f t="shared" si="2"/>
        <v>80</v>
      </c>
      <c r="M23" s="2">
        <f t="shared" si="3"/>
        <v>107</v>
      </c>
      <c r="N23" s="2">
        <f t="shared" si="4"/>
        <v>227</v>
      </c>
      <c r="O23" s="2">
        <f t="shared" si="5"/>
        <v>173</v>
      </c>
    </row>
    <row r="24">
      <c r="A24" s="2" t="str">
        <f>IFERROR(__xludf.DUMMYFUNCTION("""COMPUTED_VALUE"""),"((486, 20)), ((387, 20)), ((845, 20)), ((719, 20))")</f>
        <v>((486, 20)), ((387, 20)), ((845, 20)), ((719, 20))</v>
      </c>
      <c r="B24" s="2">
        <f>IFERROR(__xludf.DUMMYFUNCTION("SPLIT(A24, ""),( "")"),486.0)</f>
        <v>486</v>
      </c>
      <c r="C24" s="2">
        <f>IFERROR(__xludf.DUMMYFUNCTION("""COMPUTED_VALUE"""),20.0)</f>
        <v>20</v>
      </c>
      <c r="D24" s="2">
        <f>IFERROR(__xludf.DUMMYFUNCTION("""COMPUTED_VALUE"""),387.0)</f>
        <v>387</v>
      </c>
      <c r="E24" s="2">
        <f>IFERROR(__xludf.DUMMYFUNCTION("""COMPUTED_VALUE"""),20.0)</f>
        <v>20</v>
      </c>
      <c r="F24" s="2">
        <f>IFERROR(__xludf.DUMMYFUNCTION("""COMPUTED_VALUE"""),845.0)</f>
        <v>845</v>
      </c>
      <c r="G24" s="2">
        <f>IFERROR(__xludf.DUMMYFUNCTION("""COMPUTED_VALUE"""),20.0)</f>
        <v>20</v>
      </c>
      <c r="H24" s="2">
        <f>IFERROR(__xludf.DUMMYFUNCTION("""COMPUTED_VALUE"""),719.0)</f>
        <v>719</v>
      </c>
      <c r="I24" s="2">
        <f>IFERROR(__xludf.DUMMYFUNCTION("""COMPUTED_VALUE"""),20.0)</f>
        <v>20</v>
      </c>
      <c r="K24" s="2">
        <f t="shared" si="1"/>
        <v>20</v>
      </c>
      <c r="L24" s="2">
        <f t="shared" si="2"/>
        <v>486</v>
      </c>
      <c r="M24" s="2">
        <f t="shared" si="3"/>
        <v>387</v>
      </c>
      <c r="N24" s="2">
        <f t="shared" si="4"/>
        <v>845</v>
      </c>
      <c r="O24" s="2">
        <f t="shared" si="5"/>
        <v>719</v>
      </c>
    </row>
    <row r="25">
      <c r="A25" s="2" t="str">
        <f>IFERROR(__xludf.DUMMYFUNCTION("""COMPUTED_VALUE"""),"((1576, 40)), ((787, 40)), ((1797, 40)), ((1499, 40))")</f>
        <v>((1576, 40)), ((787, 40)), ((1797, 40)), ((1499, 40))</v>
      </c>
      <c r="B25" s="2">
        <f>IFERROR(__xludf.DUMMYFUNCTION("SPLIT(A25, ""),( "")"),1576.0)</f>
        <v>1576</v>
      </c>
      <c r="C25" s="2">
        <f>IFERROR(__xludf.DUMMYFUNCTION("""COMPUTED_VALUE"""),40.0)</f>
        <v>40</v>
      </c>
      <c r="D25" s="2">
        <f>IFERROR(__xludf.DUMMYFUNCTION("""COMPUTED_VALUE"""),787.0)</f>
        <v>787</v>
      </c>
      <c r="E25" s="2">
        <f>IFERROR(__xludf.DUMMYFUNCTION("""COMPUTED_VALUE"""),40.0)</f>
        <v>40</v>
      </c>
      <c r="F25" s="2">
        <f>IFERROR(__xludf.DUMMYFUNCTION("""COMPUTED_VALUE"""),1797.0)</f>
        <v>1797</v>
      </c>
      <c r="G25" s="2">
        <f>IFERROR(__xludf.DUMMYFUNCTION("""COMPUTED_VALUE"""),40.0)</f>
        <v>40</v>
      </c>
      <c r="H25" s="2">
        <f>IFERROR(__xludf.DUMMYFUNCTION("""COMPUTED_VALUE"""),1499.0)</f>
        <v>1499</v>
      </c>
      <c r="I25" s="2">
        <f>IFERROR(__xludf.DUMMYFUNCTION("""COMPUTED_VALUE"""),40.0)</f>
        <v>40</v>
      </c>
      <c r="K25" s="2">
        <f t="shared" si="1"/>
        <v>40</v>
      </c>
      <c r="L25" s="2">
        <f t="shared" si="2"/>
        <v>1576</v>
      </c>
      <c r="M25" s="2">
        <f t="shared" si="3"/>
        <v>787</v>
      </c>
      <c r="N25" s="2">
        <f t="shared" si="4"/>
        <v>1797</v>
      </c>
      <c r="O25" s="2">
        <f t="shared" si="5"/>
        <v>1499</v>
      </c>
    </row>
    <row r="26">
      <c r="A26" s="2" t="str">
        <f>IFERROR(__xludf.DUMMYFUNCTION("""COMPUTED_VALUE"""),"((31896, 200)), ((3987, 200)), ((10573, 200)), ((7739, 200))")</f>
        <v>((31896, 200)), ((3987, 200)), ((10573, 200)), ((7739, 200))</v>
      </c>
      <c r="B26" s="2">
        <f>IFERROR(__xludf.DUMMYFUNCTION("SPLIT(A26, ""),( "")"),31896.0)</f>
        <v>31896</v>
      </c>
      <c r="C26" s="2">
        <f>IFERROR(__xludf.DUMMYFUNCTION("""COMPUTED_VALUE"""),200.0)</f>
        <v>200</v>
      </c>
      <c r="D26" s="2">
        <f>IFERROR(__xludf.DUMMYFUNCTION("""COMPUTED_VALUE"""),3987.0)</f>
        <v>3987</v>
      </c>
      <c r="E26" s="2">
        <f>IFERROR(__xludf.DUMMYFUNCTION("""COMPUTED_VALUE"""),200.0)</f>
        <v>200</v>
      </c>
      <c r="F26" s="2">
        <f>IFERROR(__xludf.DUMMYFUNCTION("""COMPUTED_VALUE"""),10573.0)</f>
        <v>10573</v>
      </c>
      <c r="G26" s="2">
        <f>IFERROR(__xludf.DUMMYFUNCTION("""COMPUTED_VALUE"""),200.0)</f>
        <v>200</v>
      </c>
      <c r="H26" s="2">
        <f>IFERROR(__xludf.DUMMYFUNCTION("""COMPUTED_VALUE"""),7739.0)</f>
        <v>7739</v>
      </c>
      <c r="I26" s="2">
        <f>IFERROR(__xludf.DUMMYFUNCTION("""COMPUTED_VALUE"""),200.0)</f>
        <v>200</v>
      </c>
      <c r="K26" s="2">
        <f t="shared" si="1"/>
        <v>200</v>
      </c>
      <c r="L26" s="2">
        <f t="shared" si="2"/>
        <v>31896</v>
      </c>
      <c r="M26" s="2">
        <f t="shared" si="3"/>
        <v>3987</v>
      </c>
      <c r="N26" s="2">
        <f t="shared" si="4"/>
        <v>10573</v>
      </c>
      <c r="O26" s="2">
        <f t="shared" si="5"/>
        <v>7739</v>
      </c>
    </row>
    <row r="27">
      <c r="A27" s="2" t="str">
        <f>IFERROR(__xludf.DUMMYFUNCTION("""COMPUTED_VALUE"""),"((3018996, 2000)), ((39987, 2000)), ((163991, 2000)), ((77939, 2000))")</f>
        <v>((3018996, 2000)), ((39987, 2000)), ((163991, 2000)), ((77939, 2000))</v>
      </c>
      <c r="B27" s="2">
        <f>IFERROR(__xludf.DUMMYFUNCTION("SPLIT(A27, ""),( "")"),3018996.0)</f>
        <v>3018996</v>
      </c>
      <c r="C27" s="2">
        <f>IFERROR(__xludf.DUMMYFUNCTION("""COMPUTED_VALUE"""),2000.0)</f>
        <v>2000</v>
      </c>
      <c r="D27" s="2">
        <f>IFERROR(__xludf.DUMMYFUNCTION("""COMPUTED_VALUE"""),39987.0)</f>
        <v>39987</v>
      </c>
      <c r="E27" s="2">
        <f>IFERROR(__xludf.DUMMYFUNCTION("""COMPUTED_VALUE"""),2000.0)</f>
        <v>2000</v>
      </c>
      <c r="F27" s="2">
        <f>IFERROR(__xludf.DUMMYFUNCTION("""COMPUTED_VALUE"""),163991.0)</f>
        <v>163991</v>
      </c>
      <c r="G27" s="2">
        <f>IFERROR(__xludf.DUMMYFUNCTION("""COMPUTED_VALUE"""),2000.0)</f>
        <v>2000</v>
      </c>
      <c r="H27" s="2">
        <f>IFERROR(__xludf.DUMMYFUNCTION("""COMPUTED_VALUE"""),77939.0)</f>
        <v>77939</v>
      </c>
      <c r="I27" s="2">
        <f>IFERROR(__xludf.DUMMYFUNCTION("""COMPUTED_VALUE"""),2000.0)</f>
        <v>2000</v>
      </c>
      <c r="K27" s="2">
        <f t="shared" si="1"/>
        <v>2000</v>
      </c>
      <c r="L27" s="2">
        <f t="shared" si="2"/>
        <v>3018996</v>
      </c>
      <c r="M27" s="2">
        <f t="shared" si="3"/>
        <v>39987</v>
      </c>
      <c r="N27" s="2">
        <f t="shared" si="4"/>
        <v>163991</v>
      </c>
      <c r="O27" s="2">
        <f t="shared" si="5"/>
        <v>77939</v>
      </c>
    </row>
    <row r="28">
      <c r="A28" s="2" t="str">
        <f>IFERROR(__xludf.DUMMYFUNCTION("""COMPUTED_VALUE"""),"Timeout, Timeout, ((399987, 20000)), ((3467052, 20000)), ((779939, 20000))")</f>
        <v>Timeout, Timeout, ((399987, 20000)), ((3467052, 20000)), ((779939, 20000))</v>
      </c>
      <c r="B28" s="2" t="str">
        <f>IFERROR(__xludf.DUMMYFUNCTION("SPLIT(A28, ""),( "")"),"Timeout")</f>
        <v>Timeout</v>
      </c>
      <c r="C28" s="2" t="str">
        <f>IFERROR(__xludf.DUMMYFUNCTION("""COMPUTED_VALUE"""),"Timeout")</f>
        <v>Timeout</v>
      </c>
      <c r="D28" s="2">
        <f>IFERROR(__xludf.DUMMYFUNCTION("""COMPUTED_VALUE"""),399987.0)</f>
        <v>399987</v>
      </c>
      <c r="E28" s="2">
        <f>IFERROR(__xludf.DUMMYFUNCTION("""COMPUTED_VALUE"""),20000.0)</f>
        <v>20000</v>
      </c>
      <c r="F28" s="2">
        <f>IFERROR(__xludf.DUMMYFUNCTION("""COMPUTED_VALUE"""),3467052.0)</f>
        <v>3467052</v>
      </c>
      <c r="G28" s="2">
        <f>IFERROR(__xludf.DUMMYFUNCTION("""COMPUTED_VALUE"""),20000.0)</f>
        <v>20000</v>
      </c>
      <c r="H28" s="2">
        <f>IFERROR(__xludf.DUMMYFUNCTION("""COMPUTED_VALUE"""),779939.0)</f>
        <v>779939</v>
      </c>
      <c r="I28" s="2">
        <f>IFERROR(__xludf.DUMMYFUNCTION("""COMPUTED_VALUE"""),20000.0)</f>
        <v>20000</v>
      </c>
      <c r="K28" s="2">
        <f t="shared" si="1"/>
        <v>20000</v>
      </c>
      <c r="L28" s="2" t="str">
        <f t="shared" si="2"/>
        <v>Timeout</v>
      </c>
      <c r="M28" s="2">
        <f t="shared" si="3"/>
        <v>399987</v>
      </c>
      <c r="N28" s="2">
        <f t="shared" si="4"/>
        <v>3467052</v>
      </c>
      <c r="O28" s="2">
        <f t="shared" si="5"/>
        <v>779939</v>
      </c>
    </row>
    <row r="29">
      <c r="A29" s="2" t="str">
        <f>IFERROR(__xludf.DUMMYFUNCTION("""COMPUTED_VALUE"""),"((114, 7)), ((129, 7)), ((170, 7)), ((254, 7))")</f>
        <v>((114, 7)), ((129, 7)), ((170, 7)), ((254, 7))</v>
      </c>
      <c r="B29" s="2">
        <f>IFERROR(__xludf.DUMMYFUNCTION("SPLIT(A29, ""),( "")"),114.0)</f>
        <v>114</v>
      </c>
      <c r="C29" s="2">
        <f>IFERROR(__xludf.DUMMYFUNCTION("""COMPUTED_VALUE"""),7.0)</f>
        <v>7</v>
      </c>
      <c r="D29" s="2">
        <f>IFERROR(__xludf.DUMMYFUNCTION("""COMPUTED_VALUE"""),129.0)</f>
        <v>129</v>
      </c>
      <c r="E29" s="2">
        <f>IFERROR(__xludf.DUMMYFUNCTION("""COMPUTED_VALUE"""),7.0)</f>
        <v>7</v>
      </c>
      <c r="F29" s="2">
        <f>IFERROR(__xludf.DUMMYFUNCTION("""COMPUTED_VALUE"""),170.0)</f>
        <v>170</v>
      </c>
      <c r="G29" s="2">
        <f>IFERROR(__xludf.DUMMYFUNCTION("""COMPUTED_VALUE"""),7.0)</f>
        <v>7</v>
      </c>
      <c r="H29" s="2">
        <f>IFERROR(__xludf.DUMMYFUNCTION("""COMPUTED_VALUE"""),254.0)</f>
        <v>254</v>
      </c>
      <c r="I29" s="2">
        <f>IFERROR(__xludf.DUMMYFUNCTION("""COMPUTED_VALUE"""),7.0)</f>
        <v>7</v>
      </c>
      <c r="K29" s="2">
        <f t="shared" si="1"/>
        <v>7</v>
      </c>
      <c r="L29" s="2">
        <f t="shared" si="2"/>
        <v>114</v>
      </c>
      <c r="M29" s="2">
        <f t="shared" si="3"/>
        <v>129</v>
      </c>
      <c r="N29" s="2">
        <f t="shared" si="4"/>
        <v>170</v>
      </c>
      <c r="O29" s="2">
        <f t="shared" si="5"/>
        <v>254</v>
      </c>
    </row>
    <row r="30">
      <c r="A30" s="2" t="str">
        <f>IFERROR(__xludf.DUMMYFUNCTION("""COMPUTED_VALUE"""),"((562, 21)), ((528, 21)), ((534, 21)), ((1303, 21))")</f>
        <v>((562, 21)), ((528, 21)), ((534, 21)), ((1303, 21))</v>
      </c>
      <c r="B30" s="2">
        <f>IFERROR(__xludf.DUMMYFUNCTION("SPLIT(A30, ""),( "")"),562.0)</f>
        <v>562</v>
      </c>
      <c r="C30" s="2">
        <f>IFERROR(__xludf.DUMMYFUNCTION("""COMPUTED_VALUE"""),21.0)</f>
        <v>21</v>
      </c>
      <c r="D30" s="2">
        <f>IFERROR(__xludf.DUMMYFUNCTION("""COMPUTED_VALUE"""),528.0)</f>
        <v>528</v>
      </c>
      <c r="E30" s="2">
        <f>IFERROR(__xludf.DUMMYFUNCTION("""COMPUTED_VALUE"""),21.0)</f>
        <v>21</v>
      </c>
      <c r="F30" s="2">
        <f>IFERROR(__xludf.DUMMYFUNCTION("""COMPUTED_VALUE"""),534.0)</f>
        <v>534</v>
      </c>
      <c r="G30" s="2">
        <f>IFERROR(__xludf.DUMMYFUNCTION("""COMPUTED_VALUE"""),21.0)</f>
        <v>21</v>
      </c>
      <c r="H30" s="2">
        <f>IFERROR(__xludf.DUMMYFUNCTION("""COMPUTED_VALUE"""),1303.0)</f>
        <v>1303</v>
      </c>
      <c r="I30" s="2">
        <f>IFERROR(__xludf.DUMMYFUNCTION("""COMPUTED_VALUE"""),21.0)</f>
        <v>21</v>
      </c>
      <c r="K30" s="2">
        <f t="shared" si="1"/>
        <v>21</v>
      </c>
      <c r="L30" s="2">
        <f t="shared" si="2"/>
        <v>562</v>
      </c>
      <c r="M30" s="2">
        <f t="shared" si="3"/>
        <v>528</v>
      </c>
      <c r="N30" s="2">
        <f t="shared" si="4"/>
        <v>534</v>
      </c>
      <c r="O30" s="2">
        <f t="shared" si="5"/>
        <v>1303</v>
      </c>
    </row>
    <row r="31">
      <c r="A31" s="2" t="str">
        <f>IFERROR(__xludf.DUMMYFUNCTION("""COMPUTED_VALUE"""),"((1712, 41)), ((1438, 41)), ((1054, 41)), ((3350, 41))")</f>
        <v>((1712, 41)), ((1438, 41)), ((1054, 41)), ((3350, 41))</v>
      </c>
      <c r="B31" s="2">
        <f>IFERROR(__xludf.DUMMYFUNCTION("SPLIT(A31, ""),( "")"),1712.0)</f>
        <v>1712</v>
      </c>
      <c r="C31" s="2">
        <f>IFERROR(__xludf.DUMMYFUNCTION("""COMPUTED_VALUE"""),41.0)</f>
        <v>41</v>
      </c>
      <c r="D31" s="2">
        <f>IFERROR(__xludf.DUMMYFUNCTION("""COMPUTED_VALUE"""),1438.0)</f>
        <v>1438</v>
      </c>
      <c r="E31" s="2">
        <f>IFERROR(__xludf.DUMMYFUNCTION("""COMPUTED_VALUE"""),41.0)</f>
        <v>41</v>
      </c>
      <c r="F31" s="2">
        <f>IFERROR(__xludf.DUMMYFUNCTION("""COMPUTED_VALUE"""),1054.0)</f>
        <v>1054</v>
      </c>
      <c r="G31" s="2">
        <f>IFERROR(__xludf.DUMMYFUNCTION("""COMPUTED_VALUE"""),41.0)</f>
        <v>41</v>
      </c>
      <c r="H31" s="2">
        <f>IFERROR(__xludf.DUMMYFUNCTION("""COMPUTED_VALUE"""),3350.0)</f>
        <v>3350</v>
      </c>
      <c r="I31" s="2">
        <f>IFERROR(__xludf.DUMMYFUNCTION("""COMPUTED_VALUE"""),41.0)</f>
        <v>41</v>
      </c>
      <c r="K31" s="2">
        <f t="shared" si="1"/>
        <v>41</v>
      </c>
      <c r="L31" s="2">
        <f t="shared" si="2"/>
        <v>1712</v>
      </c>
      <c r="M31" s="2">
        <f t="shared" si="3"/>
        <v>1438</v>
      </c>
      <c r="N31" s="2">
        <f t="shared" si="4"/>
        <v>1054</v>
      </c>
      <c r="O31" s="2">
        <f t="shared" si="5"/>
        <v>3350</v>
      </c>
    </row>
    <row r="32">
      <c r="A32" s="2" t="str">
        <f>IFERROR(__xludf.DUMMYFUNCTION("""COMPUTED_VALUE"""),"((32512, 201)), ((23118, 201)), ((5214, 201)), ((26714, 201))")</f>
        <v>((32512, 201)), ((23118, 201)), ((5214, 201)), ((26714, 201))</v>
      </c>
      <c r="B32" s="2">
        <f>IFERROR(__xludf.DUMMYFUNCTION("SPLIT(A32, ""),( "")"),32512.0)</f>
        <v>32512</v>
      </c>
      <c r="C32" s="2">
        <f>IFERROR(__xludf.DUMMYFUNCTION("""COMPUTED_VALUE"""),201.0)</f>
        <v>201</v>
      </c>
      <c r="D32" s="2">
        <f>IFERROR(__xludf.DUMMYFUNCTION("""COMPUTED_VALUE"""),23118.0)</f>
        <v>23118</v>
      </c>
      <c r="E32" s="2">
        <f>IFERROR(__xludf.DUMMYFUNCTION("""COMPUTED_VALUE"""),201.0)</f>
        <v>201</v>
      </c>
      <c r="F32" s="2">
        <f>IFERROR(__xludf.DUMMYFUNCTION("""COMPUTED_VALUE"""),5214.0)</f>
        <v>5214</v>
      </c>
      <c r="G32" s="2">
        <f>IFERROR(__xludf.DUMMYFUNCTION("""COMPUTED_VALUE"""),201.0)</f>
        <v>201</v>
      </c>
      <c r="H32" s="2">
        <f>IFERROR(__xludf.DUMMYFUNCTION("""COMPUTED_VALUE"""),26714.0)</f>
        <v>26714</v>
      </c>
      <c r="I32" s="2">
        <f>IFERROR(__xludf.DUMMYFUNCTION("""COMPUTED_VALUE"""),201.0)</f>
        <v>201</v>
      </c>
      <c r="K32" s="2">
        <f t="shared" si="1"/>
        <v>201</v>
      </c>
      <c r="L32" s="2">
        <f t="shared" si="2"/>
        <v>32512</v>
      </c>
      <c r="M32" s="2">
        <f t="shared" si="3"/>
        <v>23118</v>
      </c>
      <c r="N32" s="2">
        <f t="shared" si="4"/>
        <v>5214</v>
      </c>
      <c r="O32" s="2">
        <f t="shared" si="5"/>
        <v>26714</v>
      </c>
    </row>
    <row r="33">
      <c r="A33" s="2" t="str">
        <f>IFERROR(__xludf.DUMMYFUNCTION("""COMPUTED_VALUE"""),"((3025012, 2001)), ((2031018, 2001)), ((52014, 2001)), ((423479, 2001))")</f>
        <v>((3025012, 2001)), ((2031018, 2001)), ((52014, 2001)), ((423479, 2001))</v>
      </c>
      <c r="B33" s="2">
        <f>IFERROR(__xludf.DUMMYFUNCTION("SPLIT(A33, ""),( "")"),3025012.0)</f>
        <v>3025012</v>
      </c>
      <c r="C33" s="2">
        <f>IFERROR(__xludf.DUMMYFUNCTION("""COMPUTED_VALUE"""),2001.0)</f>
        <v>2001</v>
      </c>
      <c r="D33" s="2">
        <f>IFERROR(__xludf.DUMMYFUNCTION("""COMPUTED_VALUE"""),2031018.0)</f>
        <v>2031018</v>
      </c>
      <c r="E33" s="2">
        <f>IFERROR(__xludf.DUMMYFUNCTION("""COMPUTED_VALUE"""),2001.0)</f>
        <v>2001</v>
      </c>
      <c r="F33" s="2">
        <f>IFERROR(__xludf.DUMMYFUNCTION("""COMPUTED_VALUE"""),52014.0)</f>
        <v>52014</v>
      </c>
      <c r="G33" s="2">
        <f>IFERROR(__xludf.DUMMYFUNCTION("""COMPUTED_VALUE"""),2001.0)</f>
        <v>2001</v>
      </c>
      <c r="H33" s="2">
        <f>IFERROR(__xludf.DUMMYFUNCTION("""COMPUTED_VALUE"""),423479.0)</f>
        <v>423479</v>
      </c>
      <c r="I33" s="2">
        <f>IFERROR(__xludf.DUMMYFUNCTION("""COMPUTED_VALUE"""),2001.0)</f>
        <v>2001</v>
      </c>
      <c r="K33" s="2">
        <f t="shared" si="1"/>
        <v>2001</v>
      </c>
      <c r="L33" s="2">
        <f t="shared" si="2"/>
        <v>3025012</v>
      </c>
      <c r="M33" s="2">
        <f t="shared" si="3"/>
        <v>2031018</v>
      </c>
      <c r="N33" s="2">
        <f t="shared" si="4"/>
        <v>52014</v>
      </c>
      <c r="O33" s="2">
        <f t="shared" si="5"/>
        <v>423479</v>
      </c>
    </row>
    <row r="34">
      <c r="A34" s="2" t="str">
        <f>IFERROR(__xludf.DUMMYFUNCTION("""COMPUTED_VALUE"""),"Timeout, Timeout, Timeout, Timeout, ((520014, 20001)), ((5790079, 20001))")</f>
        <v>Timeout, Timeout, Timeout, Timeout, ((520014, 20001)), ((5790079, 20001))</v>
      </c>
      <c r="B34" s="2" t="str">
        <f>IFERROR(__xludf.DUMMYFUNCTION("SPLIT(A34, ""),( "")"),"Timeout")</f>
        <v>Timeout</v>
      </c>
      <c r="C34" s="2" t="str">
        <f>IFERROR(__xludf.DUMMYFUNCTION("""COMPUTED_VALUE"""),"Timeout")</f>
        <v>Timeout</v>
      </c>
      <c r="D34" s="2" t="str">
        <f>IFERROR(__xludf.DUMMYFUNCTION("""COMPUTED_VALUE"""),"Timeout")</f>
        <v>Timeout</v>
      </c>
      <c r="E34" s="2" t="str">
        <f>IFERROR(__xludf.DUMMYFUNCTION("""COMPUTED_VALUE"""),"Timeout")</f>
        <v>Timeout</v>
      </c>
      <c r="F34" s="2">
        <f>IFERROR(__xludf.DUMMYFUNCTION("""COMPUTED_VALUE"""),520014.0)</f>
        <v>520014</v>
      </c>
      <c r="G34" s="2">
        <f>IFERROR(__xludf.DUMMYFUNCTION("""COMPUTED_VALUE"""),20001.0)</f>
        <v>20001</v>
      </c>
      <c r="H34" s="2">
        <f>IFERROR(__xludf.DUMMYFUNCTION("""COMPUTED_VALUE"""),5790079.0)</f>
        <v>5790079</v>
      </c>
      <c r="I34" s="2">
        <f>IFERROR(__xludf.DUMMYFUNCTION("""COMPUTED_VALUE"""),20001.0)</f>
        <v>20001</v>
      </c>
      <c r="K34" s="2">
        <f t="shared" si="1"/>
        <v>20001</v>
      </c>
      <c r="L34" s="2" t="str">
        <f t="shared" si="2"/>
        <v>Timeout</v>
      </c>
      <c r="M34" s="2" t="str">
        <f t="shared" si="3"/>
        <v>Timeout</v>
      </c>
      <c r="N34" s="2">
        <f t="shared" si="4"/>
        <v>520014</v>
      </c>
      <c r="O34" s="2">
        <f t="shared" si="5"/>
        <v>5790079</v>
      </c>
    </row>
    <row r="35">
      <c r="A35" s="2" t="str">
        <f>IFERROR(__xludf.DUMMYFUNCTION("""COMPUTED_VALUE"""),"((91, 7)), ((84, 7)), ((131, 7)), ((164, 7))")</f>
        <v>((91, 7)), ((84, 7)), ((131, 7)), ((164, 7))</v>
      </c>
      <c r="B35" s="2">
        <f>IFERROR(__xludf.DUMMYFUNCTION("SPLIT(A35, ""),( "")"),91.0)</f>
        <v>91</v>
      </c>
      <c r="C35" s="2">
        <f>IFERROR(__xludf.DUMMYFUNCTION("""COMPUTED_VALUE"""),7.0)</f>
        <v>7</v>
      </c>
      <c r="D35" s="2">
        <f>IFERROR(__xludf.DUMMYFUNCTION("""COMPUTED_VALUE"""),84.0)</f>
        <v>84</v>
      </c>
      <c r="E35" s="2">
        <f>IFERROR(__xludf.DUMMYFUNCTION("""COMPUTED_VALUE"""),7.0)</f>
        <v>7</v>
      </c>
      <c r="F35" s="2">
        <f>IFERROR(__xludf.DUMMYFUNCTION("""COMPUTED_VALUE"""),131.0)</f>
        <v>131</v>
      </c>
      <c r="G35" s="2">
        <f>IFERROR(__xludf.DUMMYFUNCTION("""COMPUTED_VALUE"""),7.0)</f>
        <v>7</v>
      </c>
      <c r="H35" s="2">
        <f>IFERROR(__xludf.DUMMYFUNCTION("""COMPUTED_VALUE"""),164.0)</f>
        <v>164</v>
      </c>
      <c r="I35" s="2">
        <f>IFERROR(__xludf.DUMMYFUNCTION("""COMPUTED_VALUE"""),7.0)</f>
        <v>7</v>
      </c>
      <c r="K35" s="2">
        <f t="shared" si="1"/>
        <v>7</v>
      </c>
      <c r="L35" s="2">
        <f t="shared" si="2"/>
        <v>91</v>
      </c>
      <c r="M35" s="2">
        <f t="shared" si="3"/>
        <v>84</v>
      </c>
      <c r="N35" s="2">
        <f t="shared" si="4"/>
        <v>131</v>
      </c>
      <c r="O35" s="2">
        <f t="shared" si="5"/>
        <v>164</v>
      </c>
    </row>
    <row r="36">
      <c r="A36" s="2" t="str">
        <f>IFERROR(__xludf.DUMMYFUNCTION("""COMPUTED_VALUE"""),"((504, 21)), ((413, 21)), ((425, 21)), ((1024, 21))")</f>
        <v>((504, 21)), ((413, 21)), ((425, 21)), ((1024, 21))</v>
      </c>
      <c r="B36" s="2">
        <f>IFERROR(__xludf.DUMMYFUNCTION("SPLIT(A36, ""),( "")"),504.0)</f>
        <v>504</v>
      </c>
      <c r="C36" s="2">
        <f>IFERROR(__xludf.DUMMYFUNCTION("""COMPUTED_VALUE"""),21.0)</f>
        <v>21</v>
      </c>
      <c r="D36" s="2">
        <f>IFERROR(__xludf.DUMMYFUNCTION("""COMPUTED_VALUE"""),413.0)</f>
        <v>413</v>
      </c>
      <c r="E36" s="2">
        <f>IFERROR(__xludf.DUMMYFUNCTION("""COMPUTED_VALUE"""),21.0)</f>
        <v>21</v>
      </c>
      <c r="F36" s="2">
        <f>IFERROR(__xludf.DUMMYFUNCTION("""COMPUTED_VALUE"""),425.0)</f>
        <v>425</v>
      </c>
      <c r="G36" s="2">
        <f>IFERROR(__xludf.DUMMYFUNCTION("""COMPUTED_VALUE"""),21.0)</f>
        <v>21</v>
      </c>
      <c r="H36" s="2">
        <f>IFERROR(__xludf.DUMMYFUNCTION("""COMPUTED_VALUE"""),1024.0)</f>
        <v>1024</v>
      </c>
      <c r="I36" s="2">
        <f>IFERROR(__xludf.DUMMYFUNCTION("""COMPUTED_VALUE"""),21.0)</f>
        <v>21</v>
      </c>
      <c r="K36" s="2">
        <f t="shared" si="1"/>
        <v>21</v>
      </c>
      <c r="L36" s="2">
        <f t="shared" si="2"/>
        <v>504</v>
      </c>
      <c r="M36" s="2">
        <f t="shared" si="3"/>
        <v>413</v>
      </c>
      <c r="N36" s="2">
        <f t="shared" si="4"/>
        <v>425</v>
      </c>
      <c r="O36" s="2">
        <f t="shared" si="5"/>
        <v>1024</v>
      </c>
    </row>
    <row r="37">
      <c r="A37" s="2" t="str">
        <f>IFERROR(__xludf.DUMMYFUNCTION("""COMPUTED_VALUE"""),"((1604, 41)), ((1223, 41)), ((845, 41)), ((2801, 41))")</f>
        <v>((1604, 41)), ((1223, 41)), ((845, 41)), ((2801, 41))</v>
      </c>
      <c r="B37" s="2">
        <f>IFERROR(__xludf.DUMMYFUNCTION("SPLIT(A37, ""),( "")"),1604.0)</f>
        <v>1604</v>
      </c>
      <c r="C37" s="2">
        <f>IFERROR(__xludf.DUMMYFUNCTION("""COMPUTED_VALUE"""),41.0)</f>
        <v>41</v>
      </c>
      <c r="D37" s="2">
        <f>IFERROR(__xludf.DUMMYFUNCTION("""COMPUTED_VALUE"""),1223.0)</f>
        <v>1223</v>
      </c>
      <c r="E37" s="2">
        <f>IFERROR(__xludf.DUMMYFUNCTION("""COMPUTED_VALUE"""),41.0)</f>
        <v>41</v>
      </c>
      <c r="F37" s="2">
        <f>IFERROR(__xludf.DUMMYFUNCTION("""COMPUTED_VALUE"""),845.0)</f>
        <v>845</v>
      </c>
      <c r="G37" s="2">
        <f>IFERROR(__xludf.DUMMYFUNCTION("""COMPUTED_VALUE"""),41.0)</f>
        <v>41</v>
      </c>
      <c r="H37" s="2">
        <f>IFERROR(__xludf.DUMMYFUNCTION("""COMPUTED_VALUE"""),2801.0)</f>
        <v>2801</v>
      </c>
      <c r="I37" s="2">
        <f>IFERROR(__xludf.DUMMYFUNCTION("""COMPUTED_VALUE"""),41.0)</f>
        <v>41</v>
      </c>
      <c r="K37" s="2">
        <f t="shared" si="1"/>
        <v>41</v>
      </c>
      <c r="L37" s="2">
        <f t="shared" si="2"/>
        <v>1604</v>
      </c>
      <c r="M37" s="2">
        <f t="shared" si="3"/>
        <v>1223</v>
      </c>
      <c r="N37" s="2">
        <f t="shared" si="4"/>
        <v>845</v>
      </c>
      <c r="O37" s="2">
        <f t="shared" si="5"/>
        <v>2801</v>
      </c>
    </row>
    <row r="38">
      <c r="A38" s="2" t="str">
        <f>IFERROR(__xludf.DUMMYFUNCTION("""COMPUTED_VALUE"""),"((32004, 201)), ((22103, 201)), ((4205, 201)), ((24005, 201))")</f>
        <v>((32004, 201)), ((22103, 201)), ((4205, 201)), ((24005, 201))</v>
      </c>
      <c r="B38" s="2">
        <f>IFERROR(__xludf.DUMMYFUNCTION("SPLIT(A38, ""),( "")"),32004.0)</f>
        <v>32004</v>
      </c>
      <c r="C38" s="2">
        <f>IFERROR(__xludf.DUMMYFUNCTION("""COMPUTED_VALUE"""),201.0)</f>
        <v>201</v>
      </c>
      <c r="D38" s="2">
        <f>IFERROR(__xludf.DUMMYFUNCTION("""COMPUTED_VALUE"""),22103.0)</f>
        <v>22103</v>
      </c>
      <c r="E38" s="2">
        <f>IFERROR(__xludf.DUMMYFUNCTION("""COMPUTED_VALUE"""),201.0)</f>
        <v>201</v>
      </c>
      <c r="F38" s="2">
        <f>IFERROR(__xludf.DUMMYFUNCTION("""COMPUTED_VALUE"""),4205.0)</f>
        <v>4205</v>
      </c>
      <c r="G38" s="2">
        <f>IFERROR(__xludf.DUMMYFUNCTION("""COMPUTED_VALUE"""),201.0)</f>
        <v>201</v>
      </c>
      <c r="H38" s="2">
        <f>IFERROR(__xludf.DUMMYFUNCTION("""COMPUTED_VALUE"""),24005.0)</f>
        <v>24005</v>
      </c>
      <c r="I38" s="2">
        <f>IFERROR(__xludf.DUMMYFUNCTION("""COMPUTED_VALUE"""),201.0)</f>
        <v>201</v>
      </c>
      <c r="K38" s="2">
        <f t="shared" si="1"/>
        <v>201</v>
      </c>
      <c r="L38" s="2">
        <f t="shared" si="2"/>
        <v>32004</v>
      </c>
      <c r="M38" s="2">
        <f t="shared" si="3"/>
        <v>22103</v>
      </c>
      <c r="N38" s="2">
        <f t="shared" si="4"/>
        <v>4205</v>
      </c>
      <c r="O38" s="2">
        <f t="shared" si="5"/>
        <v>24005</v>
      </c>
    </row>
    <row r="39">
      <c r="A39" s="2" t="str">
        <f>IFERROR(__xludf.DUMMYFUNCTION("""COMPUTED_VALUE"""),"((3020004, 2001)), ((2021003, 2001)), ((42005, 2001)), ((396470, 2001))")</f>
        <v>((3020004, 2001)), ((2021003, 2001)), ((42005, 2001)), ((396470, 2001))</v>
      </c>
      <c r="B39" s="2">
        <f>IFERROR(__xludf.DUMMYFUNCTION("SPLIT(A39, ""),( "")"),3020004.0)</f>
        <v>3020004</v>
      </c>
      <c r="C39" s="2">
        <f>IFERROR(__xludf.DUMMYFUNCTION("""COMPUTED_VALUE"""),2001.0)</f>
        <v>2001</v>
      </c>
      <c r="D39" s="2">
        <f>IFERROR(__xludf.DUMMYFUNCTION("""COMPUTED_VALUE"""),2021003.0)</f>
        <v>2021003</v>
      </c>
      <c r="E39" s="2">
        <f>IFERROR(__xludf.DUMMYFUNCTION("""COMPUTED_VALUE"""),2001.0)</f>
        <v>2001</v>
      </c>
      <c r="F39" s="2">
        <f>IFERROR(__xludf.DUMMYFUNCTION("""COMPUTED_VALUE"""),42005.0)</f>
        <v>42005</v>
      </c>
      <c r="G39" s="2">
        <f>IFERROR(__xludf.DUMMYFUNCTION("""COMPUTED_VALUE"""),2001.0)</f>
        <v>2001</v>
      </c>
      <c r="H39" s="2">
        <f>IFERROR(__xludf.DUMMYFUNCTION("""COMPUTED_VALUE"""),396470.0)</f>
        <v>396470</v>
      </c>
      <c r="I39" s="2">
        <f>IFERROR(__xludf.DUMMYFUNCTION("""COMPUTED_VALUE"""),2001.0)</f>
        <v>2001</v>
      </c>
      <c r="K39" s="2">
        <f t="shared" si="1"/>
        <v>2001</v>
      </c>
      <c r="L39" s="2">
        <f t="shared" si="2"/>
        <v>3020004</v>
      </c>
      <c r="M39" s="2">
        <f t="shared" si="3"/>
        <v>2021003</v>
      </c>
      <c r="N39" s="2">
        <f t="shared" si="4"/>
        <v>42005</v>
      </c>
      <c r="O39" s="2">
        <f t="shared" si="5"/>
        <v>396470</v>
      </c>
    </row>
    <row r="40">
      <c r="A40" s="2" t="str">
        <f>IFERROR(__xludf.DUMMYFUNCTION("""COMPUTED_VALUE"""),"Timeout, Timeout, Timeout, Timeout, ((420005, 20001)), ((5520070, 20001))")</f>
        <v>Timeout, Timeout, Timeout, Timeout, ((420005, 20001)), ((5520070, 20001))</v>
      </c>
      <c r="B40" s="2" t="str">
        <f>IFERROR(__xludf.DUMMYFUNCTION("SPLIT(A40, ""),( "")"),"Timeout")</f>
        <v>Timeout</v>
      </c>
      <c r="C40" s="2" t="str">
        <f>IFERROR(__xludf.DUMMYFUNCTION("""COMPUTED_VALUE"""),"Timeout")</f>
        <v>Timeout</v>
      </c>
      <c r="D40" s="2" t="str">
        <f>IFERROR(__xludf.DUMMYFUNCTION("""COMPUTED_VALUE"""),"Timeout")</f>
        <v>Timeout</v>
      </c>
      <c r="E40" s="2" t="str">
        <f>IFERROR(__xludf.DUMMYFUNCTION("""COMPUTED_VALUE"""),"Timeout")</f>
        <v>Timeout</v>
      </c>
      <c r="F40" s="2">
        <f>IFERROR(__xludf.DUMMYFUNCTION("""COMPUTED_VALUE"""),420005.0)</f>
        <v>420005</v>
      </c>
      <c r="G40" s="2">
        <f>IFERROR(__xludf.DUMMYFUNCTION("""COMPUTED_VALUE"""),20001.0)</f>
        <v>20001</v>
      </c>
      <c r="H40" s="2">
        <f>IFERROR(__xludf.DUMMYFUNCTION("""COMPUTED_VALUE"""),5520070.0)</f>
        <v>5520070</v>
      </c>
      <c r="I40" s="2">
        <f>IFERROR(__xludf.DUMMYFUNCTION("""COMPUTED_VALUE"""),20001.0)</f>
        <v>20001</v>
      </c>
      <c r="K40" s="2">
        <f t="shared" si="1"/>
        <v>20001</v>
      </c>
      <c r="L40" s="2" t="str">
        <f t="shared" si="2"/>
        <v>Timeout</v>
      </c>
      <c r="M40" s="2" t="str">
        <f t="shared" si="3"/>
        <v>Timeout</v>
      </c>
      <c r="N40" s="2">
        <f t="shared" si="4"/>
        <v>420005</v>
      </c>
      <c r="O40" s="2">
        <f t="shared" si="5"/>
        <v>5520070</v>
      </c>
    </row>
    <row r="41">
      <c r="A41" s="2" t="str">
        <f>IFERROR(__xludf.DUMMYFUNCTION("""COMPUTED_VALUE"""),"((98, 8)), ((114, 8)), ((253, 8)), ((119, 8))")</f>
        <v>((98, 8)), ((114, 8)), ((253, 8)), ((119, 8))</v>
      </c>
      <c r="B41" s="2">
        <f>IFERROR(__xludf.DUMMYFUNCTION("SPLIT(A41, ""),( "")"),98.0)</f>
        <v>98</v>
      </c>
      <c r="C41" s="2">
        <f>IFERROR(__xludf.DUMMYFUNCTION("""COMPUTED_VALUE"""),8.0)</f>
        <v>8</v>
      </c>
      <c r="D41" s="2">
        <f>IFERROR(__xludf.DUMMYFUNCTION("""COMPUTED_VALUE"""),114.0)</f>
        <v>114</v>
      </c>
      <c r="E41" s="2">
        <f>IFERROR(__xludf.DUMMYFUNCTION("""COMPUTED_VALUE"""),8.0)</f>
        <v>8</v>
      </c>
      <c r="F41" s="2">
        <f>IFERROR(__xludf.DUMMYFUNCTION("""COMPUTED_VALUE"""),253.0)</f>
        <v>253</v>
      </c>
      <c r="G41" s="2">
        <f>IFERROR(__xludf.DUMMYFUNCTION("""COMPUTED_VALUE"""),8.0)</f>
        <v>8</v>
      </c>
      <c r="H41" s="2">
        <f>IFERROR(__xludf.DUMMYFUNCTION("""COMPUTED_VALUE"""),119.0)</f>
        <v>119</v>
      </c>
      <c r="I41" s="2">
        <f>IFERROR(__xludf.DUMMYFUNCTION("""COMPUTED_VALUE"""),8.0)</f>
        <v>8</v>
      </c>
      <c r="K41" s="2">
        <f t="shared" si="1"/>
        <v>8</v>
      </c>
      <c r="L41" s="2">
        <f t="shared" si="2"/>
        <v>98</v>
      </c>
      <c r="M41" s="2">
        <f t="shared" si="3"/>
        <v>114</v>
      </c>
      <c r="N41" s="2">
        <f t="shared" si="4"/>
        <v>253</v>
      </c>
      <c r="O41" s="2">
        <f t="shared" si="5"/>
        <v>119</v>
      </c>
    </row>
    <row r="42">
      <c r="A42" s="2" t="str">
        <f>IFERROR(__xludf.DUMMYFUNCTION("""COMPUTED_VALUE"""),"((511, 22)), ((513, 22)), ((748, 22)), ((920, 22))")</f>
        <v>((511, 22)), ((513, 22)), ((748, 22)), ((920, 22))</v>
      </c>
      <c r="B42" s="2">
        <f>IFERROR(__xludf.DUMMYFUNCTION("SPLIT(A42, ""),( "")"),511.0)</f>
        <v>511</v>
      </c>
      <c r="C42" s="2">
        <f>IFERROR(__xludf.DUMMYFUNCTION("""COMPUTED_VALUE"""),22.0)</f>
        <v>22</v>
      </c>
      <c r="D42" s="2">
        <f>IFERROR(__xludf.DUMMYFUNCTION("""COMPUTED_VALUE"""),513.0)</f>
        <v>513</v>
      </c>
      <c r="E42" s="2">
        <f>IFERROR(__xludf.DUMMYFUNCTION("""COMPUTED_VALUE"""),22.0)</f>
        <v>22</v>
      </c>
      <c r="F42" s="2">
        <f>IFERROR(__xludf.DUMMYFUNCTION("""COMPUTED_VALUE"""),748.0)</f>
        <v>748</v>
      </c>
      <c r="G42" s="2">
        <f>IFERROR(__xludf.DUMMYFUNCTION("""COMPUTED_VALUE"""),22.0)</f>
        <v>22</v>
      </c>
      <c r="H42" s="2">
        <f>IFERROR(__xludf.DUMMYFUNCTION("""COMPUTED_VALUE"""),920.0)</f>
        <v>920</v>
      </c>
      <c r="I42" s="2">
        <f>IFERROR(__xludf.DUMMYFUNCTION("""COMPUTED_VALUE"""),22.0)</f>
        <v>22</v>
      </c>
      <c r="K42" s="2">
        <f t="shared" si="1"/>
        <v>22</v>
      </c>
      <c r="L42" s="2">
        <f t="shared" si="2"/>
        <v>511</v>
      </c>
      <c r="M42" s="2">
        <f t="shared" si="3"/>
        <v>513</v>
      </c>
      <c r="N42" s="2">
        <f t="shared" si="4"/>
        <v>748</v>
      </c>
      <c r="O42" s="2">
        <f t="shared" si="5"/>
        <v>920</v>
      </c>
    </row>
    <row r="43">
      <c r="A43" s="2" t="str">
        <f>IFERROR(__xludf.DUMMYFUNCTION("""COMPUTED_VALUE"""),"((1611, 42)), ((1423, 42)), ((1444, 42)), ((2661, 42))")</f>
        <v>((1611, 42)), ((1423, 42)), ((1444, 42)), ((2661, 42))</v>
      </c>
      <c r="B43" s="2">
        <f>IFERROR(__xludf.DUMMYFUNCTION("SPLIT(A43, ""),( "")"),1611.0)</f>
        <v>1611</v>
      </c>
      <c r="C43" s="2">
        <f>IFERROR(__xludf.DUMMYFUNCTION("""COMPUTED_VALUE"""),42.0)</f>
        <v>42</v>
      </c>
      <c r="D43" s="2">
        <f>IFERROR(__xludf.DUMMYFUNCTION("""COMPUTED_VALUE"""),1423.0)</f>
        <v>1423</v>
      </c>
      <c r="E43" s="2">
        <f>IFERROR(__xludf.DUMMYFUNCTION("""COMPUTED_VALUE"""),42.0)</f>
        <v>42</v>
      </c>
      <c r="F43" s="2">
        <f>IFERROR(__xludf.DUMMYFUNCTION("""COMPUTED_VALUE"""),1444.0)</f>
        <v>1444</v>
      </c>
      <c r="G43" s="2">
        <f>IFERROR(__xludf.DUMMYFUNCTION("""COMPUTED_VALUE"""),42.0)</f>
        <v>42</v>
      </c>
      <c r="H43" s="2">
        <f>IFERROR(__xludf.DUMMYFUNCTION("""COMPUTED_VALUE"""),2661.0)</f>
        <v>2661</v>
      </c>
      <c r="I43" s="2">
        <f>IFERROR(__xludf.DUMMYFUNCTION("""COMPUTED_VALUE"""),42.0)</f>
        <v>42</v>
      </c>
      <c r="K43" s="2">
        <f t="shared" si="1"/>
        <v>42</v>
      </c>
      <c r="L43" s="2">
        <f t="shared" si="2"/>
        <v>1611</v>
      </c>
      <c r="M43" s="2">
        <f t="shared" si="3"/>
        <v>1423</v>
      </c>
      <c r="N43" s="2">
        <f t="shared" si="4"/>
        <v>1444</v>
      </c>
      <c r="O43" s="2">
        <f t="shared" si="5"/>
        <v>2661</v>
      </c>
    </row>
    <row r="44">
      <c r="A44" s="2" t="str">
        <f>IFERROR(__xludf.DUMMYFUNCTION("""COMPUTED_VALUE"""),"((32011, 202)), ((23103, 202)), ((7000, 202)), ((23757, 202))")</f>
        <v>((32011, 202)), ((23103, 202)), ((7000, 202)), ((23757, 202))</v>
      </c>
      <c r="B44" s="2">
        <f>IFERROR(__xludf.DUMMYFUNCTION("SPLIT(A44, ""),( "")"),32011.0)</f>
        <v>32011</v>
      </c>
      <c r="C44" s="2">
        <f>IFERROR(__xludf.DUMMYFUNCTION("""COMPUTED_VALUE"""),202.0)</f>
        <v>202</v>
      </c>
      <c r="D44" s="2">
        <f>IFERROR(__xludf.DUMMYFUNCTION("""COMPUTED_VALUE"""),23103.0)</f>
        <v>23103</v>
      </c>
      <c r="E44" s="2">
        <f>IFERROR(__xludf.DUMMYFUNCTION("""COMPUTED_VALUE"""),202.0)</f>
        <v>202</v>
      </c>
      <c r="F44" s="2">
        <f>IFERROR(__xludf.DUMMYFUNCTION("""COMPUTED_VALUE"""),7000.0)</f>
        <v>7000</v>
      </c>
      <c r="G44" s="2">
        <f>IFERROR(__xludf.DUMMYFUNCTION("""COMPUTED_VALUE"""),202.0)</f>
        <v>202</v>
      </c>
      <c r="H44" s="2">
        <f>IFERROR(__xludf.DUMMYFUNCTION("""COMPUTED_VALUE"""),23757.0)</f>
        <v>23757</v>
      </c>
      <c r="I44" s="2">
        <f>IFERROR(__xludf.DUMMYFUNCTION("""COMPUTED_VALUE"""),202.0)</f>
        <v>202</v>
      </c>
      <c r="K44" s="2">
        <f t="shared" si="1"/>
        <v>202</v>
      </c>
      <c r="L44" s="2">
        <f t="shared" si="2"/>
        <v>32011</v>
      </c>
      <c r="M44" s="2">
        <f t="shared" si="3"/>
        <v>23103</v>
      </c>
      <c r="N44" s="2">
        <f t="shared" si="4"/>
        <v>7000</v>
      </c>
      <c r="O44" s="2">
        <f t="shared" si="5"/>
        <v>23757</v>
      </c>
    </row>
    <row r="45">
      <c r="A45" s="2" t="str">
        <f>IFERROR(__xludf.DUMMYFUNCTION("""COMPUTED_VALUE"""),"((3020011, 2002)), ((2031003, 2002)), ((69226, 2002)), ((396045, 2002))")</f>
        <v>((3020011, 2002)), ((2031003, 2002)), ((69226, 2002)), ((396045, 2002))</v>
      </c>
      <c r="B45" s="2">
        <f>IFERROR(__xludf.DUMMYFUNCTION("SPLIT(A45, ""),( "")"),3020011.0)</f>
        <v>3020011</v>
      </c>
      <c r="C45" s="2">
        <f>IFERROR(__xludf.DUMMYFUNCTION("""COMPUTED_VALUE"""),2002.0)</f>
        <v>2002</v>
      </c>
      <c r="D45" s="2">
        <f>IFERROR(__xludf.DUMMYFUNCTION("""COMPUTED_VALUE"""),2031003.0)</f>
        <v>2031003</v>
      </c>
      <c r="E45" s="2">
        <f>IFERROR(__xludf.DUMMYFUNCTION("""COMPUTED_VALUE"""),2002.0)</f>
        <v>2002</v>
      </c>
      <c r="F45" s="2">
        <f>IFERROR(__xludf.DUMMYFUNCTION("""COMPUTED_VALUE"""),69226.0)</f>
        <v>69226</v>
      </c>
      <c r="G45" s="2">
        <f>IFERROR(__xludf.DUMMYFUNCTION("""COMPUTED_VALUE"""),2002.0)</f>
        <v>2002</v>
      </c>
      <c r="H45" s="2">
        <f>IFERROR(__xludf.DUMMYFUNCTION("""COMPUTED_VALUE"""),396045.0)</f>
        <v>396045</v>
      </c>
      <c r="I45" s="2">
        <f>IFERROR(__xludf.DUMMYFUNCTION("""COMPUTED_VALUE"""),2002.0)</f>
        <v>2002</v>
      </c>
      <c r="K45" s="2">
        <f t="shared" si="1"/>
        <v>2002</v>
      </c>
      <c r="L45" s="2">
        <f t="shared" si="2"/>
        <v>3020011</v>
      </c>
      <c r="M45" s="2">
        <f t="shared" si="3"/>
        <v>2031003</v>
      </c>
      <c r="N45" s="2">
        <f t="shared" si="4"/>
        <v>69226</v>
      </c>
      <c r="O45" s="2">
        <f t="shared" si="5"/>
        <v>396045</v>
      </c>
    </row>
    <row r="46">
      <c r="A46" s="2" t="str">
        <f>IFERROR(__xludf.DUMMYFUNCTION("""COMPUTED_VALUE"""),"Timeout, Timeout, Timeout, Timeout, ((690640, 20002)), ((5519537, 20002))")</f>
        <v>Timeout, Timeout, Timeout, Timeout, ((690640, 20002)), ((5519537, 20002))</v>
      </c>
      <c r="B46" s="2" t="str">
        <f>IFERROR(__xludf.DUMMYFUNCTION("SPLIT(A46, ""),( "")"),"Timeout")</f>
        <v>Timeout</v>
      </c>
      <c r="C46" s="2" t="str">
        <f>IFERROR(__xludf.DUMMYFUNCTION("""COMPUTED_VALUE"""),"Timeout")</f>
        <v>Timeout</v>
      </c>
      <c r="D46" s="2" t="str">
        <f>IFERROR(__xludf.DUMMYFUNCTION("""COMPUTED_VALUE"""),"Timeout")</f>
        <v>Timeout</v>
      </c>
      <c r="E46" s="2" t="str">
        <f>IFERROR(__xludf.DUMMYFUNCTION("""COMPUTED_VALUE"""),"Timeout")</f>
        <v>Timeout</v>
      </c>
      <c r="F46" s="2">
        <f>IFERROR(__xludf.DUMMYFUNCTION("""COMPUTED_VALUE"""),690640.0)</f>
        <v>690640</v>
      </c>
      <c r="G46" s="2">
        <f>IFERROR(__xludf.DUMMYFUNCTION("""COMPUTED_VALUE"""),20002.0)</f>
        <v>20002</v>
      </c>
      <c r="H46" s="2">
        <f>IFERROR(__xludf.DUMMYFUNCTION("""COMPUTED_VALUE"""),5519537.0)</f>
        <v>5519537</v>
      </c>
      <c r="I46" s="2">
        <f>IFERROR(__xludf.DUMMYFUNCTION("""COMPUTED_VALUE"""),20002.0)</f>
        <v>20002</v>
      </c>
      <c r="K46" s="2">
        <f t="shared" si="1"/>
        <v>20002</v>
      </c>
      <c r="L46" s="2" t="str">
        <f t="shared" si="2"/>
        <v>Timeout</v>
      </c>
      <c r="M46" s="2" t="str">
        <f t="shared" si="3"/>
        <v>Timeout</v>
      </c>
      <c r="N46" s="2">
        <f t="shared" si="4"/>
        <v>690640</v>
      </c>
      <c r="O46" s="2">
        <f t="shared" si="5"/>
        <v>5519537</v>
      </c>
    </row>
    <row r="47">
      <c r="A47" s="2" t="str">
        <f>IFERROR(__xludf.DUMMYFUNCTION("""COMPUTED_VALUE"""),"((80, 6)), ((110, 6)), ((212, 6)), ((192, 6))")</f>
        <v>((80, 6)), ((110, 6)), ((212, 6)), ((192, 6))</v>
      </c>
      <c r="B47" s="2">
        <f>IFERROR(__xludf.DUMMYFUNCTION("SPLIT(A47, ""),( "")"),80.0)</f>
        <v>80</v>
      </c>
      <c r="C47" s="2">
        <f>IFERROR(__xludf.DUMMYFUNCTION("""COMPUTED_VALUE"""),6.0)</f>
        <v>6</v>
      </c>
      <c r="D47" s="2">
        <f>IFERROR(__xludf.DUMMYFUNCTION("""COMPUTED_VALUE"""),110.0)</f>
        <v>110</v>
      </c>
      <c r="E47" s="2">
        <f>IFERROR(__xludf.DUMMYFUNCTION("""COMPUTED_VALUE"""),6.0)</f>
        <v>6</v>
      </c>
      <c r="F47" s="2">
        <f>IFERROR(__xludf.DUMMYFUNCTION("""COMPUTED_VALUE"""),212.0)</f>
        <v>212</v>
      </c>
      <c r="G47" s="2">
        <f>IFERROR(__xludf.DUMMYFUNCTION("""COMPUTED_VALUE"""),6.0)</f>
        <v>6</v>
      </c>
      <c r="H47" s="2">
        <f>IFERROR(__xludf.DUMMYFUNCTION("""COMPUTED_VALUE"""),192.0)</f>
        <v>192</v>
      </c>
      <c r="I47" s="2">
        <f>IFERROR(__xludf.DUMMYFUNCTION("""COMPUTED_VALUE"""),6.0)</f>
        <v>6</v>
      </c>
      <c r="K47" s="2">
        <f t="shared" si="1"/>
        <v>6</v>
      </c>
      <c r="L47" s="2">
        <f t="shared" si="2"/>
        <v>80</v>
      </c>
      <c r="M47" s="2">
        <f t="shared" si="3"/>
        <v>110</v>
      </c>
      <c r="N47" s="2">
        <f t="shared" si="4"/>
        <v>212</v>
      </c>
      <c r="O47" s="2">
        <f t="shared" si="5"/>
        <v>192</v>
      </c>
    </row>
    <row r="48">
      <c r="A48" s="2" t="str">
        <f>IFERROR(__xludf.DUMMYFUNCTION("""COMPUTED_VALUE"""),"((486, 20)), ((523, 20)), ((707, 20)), ((1143, 20))")</f>
        <v>((486, 20)), ((523, 20)), ((707, 20)), ((1143, 20))</v>
      </c>
      <c r="B48" s="2">
        <f>IFERROR(__xludf.DUMMYFUNCTION("SPLIT(A48, ""),( "")"),486.0)</f>
        <v>486</v>
      </c>
      <c r="C48" s="2">
        <f>IFERROR(__xludf.DUMMYFUNCTION("""COMPUTED_VALUE"""),20.0)</f>
        <v>20</v>
      </c>
      <c r="D48" s="2">
        <f>IFERROR(__xludf.DUMMYFUNCTION("""COMPUTED_VALUE"""),523.0)</f>
        <v>523</v>
      </c>
      <c r="E48" s="2">
        <f>IFERROR(__xludf.DUMMYFUNCTION("""COMPUTED_VALUE"""),20.0)</f>
        <v>20</v>
      </c>
      <c r="F48" s="2">
        <f>IFERROR(__xludf.DUMMYFUNCTION("""COMPUTED_VALUE"""),707.0)</f>
        <v>707</v>
      </c>
      <c r="G48" s="2">
        <f>IFERROR(__xludf.DUMMYFUNCTION("""COMPUTED_VALUE"""),20.0)</f>
        <v>20</v>
      </c>
      <c r="H48" s="2">
        <f>IFERROR(__xludf.DUMMYFUNCTION("""COMPUTED_VALUE"""),1143.0)</f>
        <v>1143</v>
      </c>
      <c r="I48" s="2">
        <f>IFERROR(__xludf.DUMMYFUNCTION("""COMPUTED_VALUE"""),20.0)</f>
        <v>20</v>
      </c>
      <c r="K48" s="2">
        <f t="shared" si="1"/>
        <v>20</v>
      </c>
      <c r="L48" s="2">
        <f t="shared" si="2"/>
        <v>486</v>
      </c>
      <c r="M48" s="2">
        <f t="shared" si="3"/>
        <v>523</v>
      </c>
      <c r="N48" s="2">
        <f t="shared" si="4"/>
        <v>707</v>
      </c>
      <c r="O48" s="2">
        <f t="shared" si="5"/>
        <v>1143</v>
      </c>
    </row>
    <row r="49">
      <c r="A49" s="2" t="str">
        <f>IFERROR(__xludf.DUMMYFUNCTION("""COMPUTED_VALUE"""),"((1576, 40)), ((1453, 40)), ((1403, 40)), ((3050, 40))")</f>
        <v>((1576, 40)), ((1453, 40)), ((1403, 40)), ((3050, 40))</v>
      </c>
      <c r="B49" s="2">
        <f>IFERROR(__xludf.DUMMYFUNCTION("SPLIT(A49, ""),( "")"),1576.0)</f>
        <v>1576</v>
      </c>
      <c r="C49" s="2">
        <f>IFERROR(__xludf.DUMMYFUNCTION("""COMPUTED_VALUE"""),40.0)</f>
        <v>40</v>
      </c>
      <c r="D49" s="2">
        <f>IFERROR(__xludf.DUMMYFUNCTION("""COMPUTED_VALUE"""),1453.0)</f>
        <v>1453</v>
      </c>
      <c r="E49" s="2">
        <f>IFERROR(__xludf.DUMMYFUNCTION("""COMPUTED_VALUE"""),40.0)</f>
        <v>40</v>
      </c>
      <c r="F49" s="2">
        <f>IFERROR(__xludf.DUMMYFUNCTION("""COMPUTED_VALUE"""),1403.0)</f>
        <v>1403</v>
      </c>
      <c r="G49" s="2">
        <f>IFERROR(__xludf.DUMMYFUNCTION("""COMPUTED_VALUE"""),40.0)</f>
        <v>40</v>
      </c>
      <c r="H49" s="2">
        <f>IFERROR(__xludf.DUMMYFUNCTION("""COMPUTED_VALUE"""),3050.0)</f>
        <v>3050</v>
      </c>
      <c r="I49" s="2">
        <f>IFERROR(__xludf.DUMMYFUNCTION("""COMPUTED_VALUE"""),40.0)</f>
        <v>40</v>
      </c>
      <c r="K49" s="2">
        <f t="shared" si="1"/>
        <v>40</v>
      </c>
      <c r="L49" s="2">
        <f t="shared" si="2"/>
        <v>1576</v>
      </c>
      <c r="M49" s="2">
        <f t="shared" si="3"/>
        <v>1453</v>
      </c>
      <c r="N49" s="2">
        <f t="shared" si="4"/>
        <v>1403</v>
      </c>
      <c r="O49" s="2">
        <f t="shared" si="5"/>
        <v>3050</v>
      </c>
    </row>
    <row r="50">
      <c r="A50" s="2" t="str">
        <f>IFERROR(__xludf.DUMMYFUNCTION("""COMPUTED_VALUE"""),"((31896, 200)), ((23293, 200)), ((6959, 200)), ((25294, 200))")</f>
        <v>((31896, 200)), ((23293, 200)), ((6959, 200)), ((25294, 200))</v>
      </c>
      <c r="B50" s="2">
        <f>IFERROR(__xludf.DUMMYFUNCTION("SPLIT(A50, ""),( "")"),31896.0)</f>
        <v>31896</v>
      </c>
      <c r="C50" s="2">
        <f>IFERROR(__xludf.DUMMYFUNCTION("""COMPUTED_VALUE"""),200.0)</f>
        <v>200</v>
      </c>
      <c r="D50" s="2">
        <f>IFERROR(__xludf.DUMMYFUNCTION("""COMPUTED_VALUE"""),23293.0)</f>
        <v>23293</v>
      </c>
      <c r="E50" s="2">
        <f>IFERROR(__xludf.DUMMYFUNCTION("""COMPUTED_VALUE"""),200.0)</f>
        <v>200</v>
      </c>
      <c r="F50" s="2">
        <f>IFERROR(__xludf.DUMMYFUNCTION("""COMPUTED_VALUE"""),6959.0)</f>
        <v>6959</v>
      </c>
      <c r="G50" s="2">
        <f>IFERROR(__xludf.DUMMYFUNCTION("""COMPUTED_VALUE"""),200.0)</f>
        <v>200</v>
      </c>
      <c r="H50" s="2">
        <f>IFERROR(__xludf.DUMMYFUNCTION("""COMPUTED_VALUE"""),25294.0)</f>
        <v>25294</v>
      </c>
      <c r="I50" s="2">
        <f>IFERROR(__xludf.DUMMYFUNCTION("""COMPUTED_VALUE"""),200.0)</f>
        <v>200</v>
      </c>
      <c r="K50" s="2">
        <f t="shared" si="1"/>
        <v>200</v>
      </c>
      <c r="L50" s="2">
        <f t="shared" si="2"/>
        <v>31896</v>
      </c>
      <c r="M50" s="2">
        <f t="shared" si="3"/>
        <v>23293</v>
      </c>
      <c r="N50" s="2">
        <f t="shared" si="4"/>
        <v>6959</v>
      </c>
      <c r="O50" s="2">
        <f t="shared" si="5"/>
        <v>25294</v>
      </c>
    </row>
    <row r="51">
      <c r="A51" s="2" t="str">
        <f>IFERROR(__xludf.DUMMYFUNCTION("""COMPUTED_VALUE"""),"((3018996, 2000)), ((2032993, 2000)), ((69185, 2000)), ((409459, 2000))")</f>
        <v>((3018996, 2000)), ((2032993, 2000)), ((69185, 2000)), ((409459, 2000))</v>
      </c>
      <c r="B51" s="2">
        <f>IFERROR(__xludf.DUMMYFUNCTION("SPLIT(A51, ""),( "")"),3018996.0)</f>
        <v>3018996</v>
      </c>
      <c r="C51" s="2">
        <f>IFERROR(__xludf.DUMMYFUNCTION("""COMPUTED_VALUE"""),2000.0)</f>
        <v>2000</v>
      </c>
      <c r="D51" s="2">
        <f>IFERROR(__xludf.DUMMYFUNCTION("""COMPUTED_VALUE"""),2032993.0)</f>
        <v>2032993</v>
      </c>
      <c r="E51" s="2">
        <f>IFERROR(__xludf.DUMMYFUNCTION("""COMPUTED_VALUE"""),2000.0)</f>
        <v>2000</v>
      </c>
      <c r="F51" s="2">
        <f>IFERROR(__xludf.DUMMYFUNCTION("""COMPUTED_VALUE"""),69185.0)</f>
        <v>69185</v>
      </c>
      <c r="G51" s="2">
        <f>IFERROR(__xludf.DUMMYFUNCTION("""COMPUTED_VALUE"""),2000.0)</f>
        <v>2000</v>
      </c>
      <c r="H51" s="2">
        <f>IFERROR(__xludf.DUMMYFUNCTION("""COMPUTED_VALUE"""),409459.0)</f>
        <v>409459</v>
      </c>
      <c r="I51" s="2">
        <f>IFERROR(__xludf.DUMMYFUNCTION("""COMPUTED_VALUE"""),2000.0)</f>
        <v>2000</v>
      </c>
      <c r="K51" s="2">
        <f t="shared" si="1"/>
        <v>2000</v>
      </c>
      <c r="L51" s="2">
        <f t="shared" si="2"/>
        <v>3018996</v>
      </c>
      <c r="M51" s="2">
        <f t="shared" si="3"/>
        <v>2032993</v>
      </c>
      <c r="N51" s="2">
        <f t="shared" si="4"/>
        <v>69185</v>
      </c>
      <c r="O51" s="2">
        <f t="shared" si="5"/>
        <v>409459</v>
      </c>
    </row>
    <row r="52">
      <c r="A52" s="2" t="str">
        <f>IFERROR(__xludf.DUMMYFUNCTION("""COMPUTED_VALUE"""),"Timeout, Timeout, Timeout, Timeout, ((690599, 20000)), ((5650059, 20000))")</f>
        <v>Timeout, Timeout, Timeout, Timeout, ((690599, 20000)), ((5650059, 20000))</v>
      </c>
      <c r="B52" s="2" t="str">
        <f>IFERROR(__xludf.DUMMYFUNCTION("SPLIT(A52, ""),( "")"),"Timeout")</f>
        <v>Timeout</v>
      </c>
      <c r="C52" s="2" t="str">
        <f>IFERROR(__xludf.DUMMYFUNCTION("""COMPUTED_VALUE"""),"Timeout")</f>
        <v>Timeout</v>
      </c>
      <c r="D52" s="2" t="str">
        <f>IFERROR(__xludf.DUMMYFUNCTION("""COMPUTED_VALUE"""),"Timeout")</f>
        <v>Timeout</v>
      </c>
      <c r="E52" s="2" t="str">
        <f>IFERROR(__xludf.DUMMYFUNCTION("""COMPUTED_VALUE"""),"Timeout")</f>
        <v>Timeout</v>
      </c>
      <c r="F52" s="2">
        <f>IFERROR(__xludf.DUMMYFUNCTION("""COMPUTED_VALUE"""),690599.0)</f>
        <v>690599</v>
      </c>
      <c r="G52" s="2">
        <f>IFERROR(__xludf.DUMMYFUNCTION("""COMPUTED_VALUE"""),20000.0)</f>
        <v>20000</v>
      </c>
      <c r="H52" s="2">
        <f>IFERROR(__xludf.DUMMYFUNCTION("""COMPUTED_VALUE"""),5650059.0)</f>
        <v>5650059</v>
      </c>
      <c r="I52" s="2">
        <f>IFERROR(__xludf.DUMMYFUNCTION("""COMPUTED_VALUE"""),20000.0)</f>
        <v>20000</v>
      </c>
      <c r="K52" s="2">
        <f t="shared" si="1"/>
        <v>20000</v>
      </c>
      <c r="L52" s="2" t="str">
        <f t="shared" si="2"/>
        <v>Timeout</v>
      </c>
      <c r="M52" s="2" t="str">
        <f t="shared" si="3"/>
        <v>Timeout</v>
      </c>
      <c r="N52" s="2">
        <f t="shared" si="4"/>
        <v>690599</v>
      </c>
      <c r="O52" s="2">
        <f t="shared" si="5"/>
        <v>5650059</v>
      </c>
    </row>
    <row r="53">
      <c r="A53" s="2" t="str">
        <f>IFERROR(__xludf.DUMMYFUNCTION("""COMPUTED_VALUE"""),"((1151, 29)), ((507, 29)), ((938, 29)), ((663, 29))")</f>
        <v>((1151, 29)), ((507, 29)), ((938, 29)), ((663, 29))</v>
      </c>
      <c r="B53" s="2">
        <f>IFERROR(__xludf.DUMMYFUNCTION("SPLIT(A53, ""),( "")"),1151.0)</f>
        <v>1151</v>
      </c>
      <c r="C53" s="2">
        <f>IFERROR(__xludf.DUMMYFUNCTION("""COMPUTED_VALUE"""),29.0)</f>
        <v>29</v>
      </c>
      <c r="D53" s="2">
        <f>IFERROR(__xludf.DUMMYFUNCTION("""COMPUTED_VALUE"""),507.0)</f>
        <v>507</v>
      </c>
      <c r="E53" s="2">
        <f>IFERROR(__xludf.DUMMYFUNCTION("""COMPUTED_VALUE"""),29.0)</f>
        <v>29</v>
      </c>
      <c r="F53" s="2">
        <f>IFERROR(__xludf.DUMMYFUNCTION("""COMPUTED_VALUE"""),938.0)</f>
        <v>938</v>
      </c>
      <c r="G53" s="2">
        <f>IFERROR(__xludf.DUMMYFUNCTION("""COMPUTED_VALUE"""),29.0)</f>
        <v>29</v>
      </c>
      <c r="H53" s="2">
        <f>IFERROR(__xludf.DUMMYFUNCTION("""COMPUTED_VALUE"""),663.0)</f>
        <v>663</v>
      </c>
      <c r="I53" s="2">
        <f>IFERROR(__xludf.DUMMYFUNCTION("""COMPUTED_VALUE"""),29.0)</f>
        <v>29</v>
      </c>
      <c r="K53" s="2">
        <f t="shared" si="1"/>
        <v>29</v>
      </c>
      <c r="L53" s="2">
        <f t="shared" si="2"/>
        <v>1151</v>
      </c>
      <c r="M53" s="2">
        <f t="shared" si="3"/>
        <v>507</v>
      </c>
      <c r="N53" s="2">
        <f t="shared" si="4"/>
        <v>938</v>
      </c>
      <c r="O53" s="2">
        <f t="shared" si="5"/>
        <v>663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13</v>
      </c>
      <c r="B2" s="1">
        <v>7.0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</row>
    <row r="3">
      <c r="A3" s="1" t="s">
        <v>14</v>
      </c>
      <c r="B3" s="1">
        <v>201.0</v>
      </c>
      <c r="C3" s="1">
        <v>2.0</v>
      </c>
      <c r="D3" s="1">
        <v>0.0</v>
      </c>
      <c r="E3" s="1">
        <v>0.0</v>
      </c>
      <c r="F3" s="1">
        <v>0.0</v>
      </c>
      <c r="G3" s="1">
        <v>10.0</v>
      </c>
    </row>
    <row r="4">
      <c r="A4" s="1" t="s">
        <v>15</v>
      </c>
      <c r="B4" s="1">
        <v>2000.0</v>
      </c>
      <c r="C4" s="1">
        <v>176.0</v>
      </c>
      <c r="D4" s="1">
        <v>2.0</v>
      </c>
      <c r="E4" s="1">
        <v>5.0</v>
      </c>
      <c r="F4" s="1">
        <v>1.0</v>
      </c>
      <c r="G4" s="1">
        <v>32.0</v>
      </c>
    </row>
    <row r="5">
      <c r="A5" s="1" t="s">
        <v>16</v>
      </c>
      <c r="B5" s="1">
        <v>601.0</v>
      </c>
      <c r="C5" s="1">
        <v>14.0</v>
      </c>
      <c r="D5" s="1">
        <v>0.0</v>
      </c>
      <c r="E5" s="1">
        <v>1.0</v>
      </c>
      <c r="F5" s="1">
        <v>0.0</v>
      </c>
      <c r="G5" s="1">
        <v>7.0</v>
      </c>
    </row>
    <row r="6">
      <c r="A6" s="1" t="s">
        <v>17</v>
      </c>
      <c r="B6" s="1">
        <v>6.0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</row>
    <row r="7">
      <c r="A7" s="1" t="s">
        <v>18</v>
      </c>
      <c r="B7" s="1">
        <v>61.0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</row>
    <row r="8">
      <c r="A8" s="1" t="s">
        <v>19</v>
      </c>
      <c r="B8" s="1">
        <v>21.0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</row>
    <row r="9">
      <c r="A9" s="1" t="s">
        <v>20</v>
      </c>
      <c r="B9" s="1">
        <v>2001.0</v>
      </c>
      <c r="C9" s="1">
        <v>153.0</v>
      </c>
      <c r="D9" s="1">
        <v>112.0</v>
      </c>
      <c r="E9" s="1">
        <v>1.0</v>
      </c>
      <c r="F9" s="1">
        <v>6.0</v>
      </c>
      <c r="G9" s="1">
        <v>83.0</v>
      </c>
    </row>
    <row r="10">
      <c r="A10" s="1" t="s">
        <v>21</v>
      </c>
      <c r="B10" s="1">
        <v>600.0</v>
      </c>
      <c r="C10" s="1">
        <v>13.0</v>
      </c>
      <c r="D10" s="1">
        <v>0.0</v>
      </c>
      <c r="E10" s="1">
        <v>1.0</v>
      </c>
      <c r="F10" s="1">
        <v>0.0</v>
      </c>
      <c r="G10" s="1">
        <v>7.0</v>
      </c>
    </row>
    <row r="11">
      <c r="A11" s="1" t="s">
        <v>22</v>
      </c>
      <c r="B11" s="1">
        <v>200.0</v>
      </c>
      <c r="C11" s="1">
        <v>1.0</v>
      </c>
      <c r="D11" s="1">
        <v>0.0</v>
      </c>
      <c r="E11" s="1">
        <v>0.0</v>
      </c>
      <c r="F11" s="1">
        <v>0.0</v>
      </c>
      <c r="G11" s="1">
        <v>1.0</v>
      </c>
    </row>
    <row r="12">
      <c r="A12" s="1" t="s">
        <v>23</v>
      </c>
      <c r="B12" s="1">
        <v>6000.0</v>
      </c>
      <c r="C12" s="1">
        <v>1398.0</v>
      </c>
      <c r="D12" s="1">
        <v>1018.0</v>
      </c>
      <c r="E12" s="1">
        <v>4.0</v>
      </c>
      <c r="F12" s="1">
        <v>22.0</v>
      </c>
      <c r="G12" s="1">
        <v>124.0</v>
      </c>
    </row>
    <row r="13">
      <c r="A13" s="1" t="s">
        <v>24</v>
      </c>
      <c r="B13" s="1">
        <v>20.0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</row>
    <row r="14">
      <c r="A14" s="1" t="s">
        <v>25</v>
      </c>
      <c r="B14" s="1">
        <v>6000.0</v>
      </c>
      <c r="C14" s="1">
        <v>1411.0</v>
      </c>
      <c r="D14" s="1">
        <v>4.0</v>
      </c>
      <c r="E14" s="1">
        <v>21.0</v>
      </c>
      <c r="F14" s="1">
        <v>2.0</v>
      </c>
      <c r="G14" s="1">
        <v>122.0</v>
      </c>
    </row>
    <row r="15">
      <c r="A15" s="1" t="s">
        <v>26</v>
      </c>
      <c r="B15" s="1">
        <v>601.0</v>
      </c>
      <c r="C15" s="1">
        <v>13.0</v>
      </c>
      <c r="D15" s="1">
        <v>10.0</v>
      </c>
      <c r="E15" s="1">
        <v>0.0</v>
      </c>
      <c r="F15" s="1">
        <v>1.0</v>
      </c>
      <c r="G15" s="1">
        <v>7.0</v>
      </c>
    </row>
    <row r="16">
      <c r="A16" s="1" t="s">
        <v>27</v>
      </c>
      <c r="B16" s="1">
        <v>20000.0</v>
      </c>
      <c r="C16" s="1" t="s">
        <v>28</v>
      </c>
      <c r="D16" s="1" t="s">
        <v>28</v>
      </c>
      <c r="E16" s="1">
        <v>14.0</v>
      </c>
      <c r="F16" s="1">
        <v>86.0</v>
      </c>
      <c r="G16" s="1">
        <v>531.0</v>
      </c>
    </row>
    <row r="17">
      <c r="A17" s="1" t="s">
        <v>29</v>
      </c>
      <c r="B17" s="1">
        <v>600.0</v>
      </c>
      <c r="C17" s="1">
        <v>13.0</v>
      </c>
      <c r="D17" s="1">
        <v>10.0</v>
      </c>
      <c r="E17" s="1">
        <v>0.0</v>
      </c>
      <c r="F17" s="1">
        <v>1.0</v>
      </c>
      <c r="G17" s="1">
        <v>7.0</v>
      </c>
    </row>
    <row r="18">
      <c r="A18" s="1" t="s">
        <v>30</v>
      </c>
      <c r="B18" s="1">
        <v>7.0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</row>
    <row r="19">
      <c r="A19" s="1" t="s">
        <v>31</v>
      </c>
      <c r="B19" s="1">
        <v>200.0</v>
      </c>
      <c r="C19" s="1">
        <v>1.0</v>
      </c>
      <c r="D19" s="1">
        <v>1.0</v>
      </c>
      <c r="E19" s="1">
        <v>0.0</v>
      </c>
      <c r="F19" s="1">
        <v>0.0</v>
      </c>
      <c r="G19" s="1">
        <v>1.0</v>
      </c>
    </row>
    <row r="20">
      <c r="A20" s="1" t="s">
        <v>32</v>
      </c>
      <c r="B20" s="1">
        <v>20001.0</v>
      </c>
      <c r="C20" s="1" t="s">
        <v>28</v>
      </c>
      <c r="D20" s="1" t="s">
        <v>28</v>
      </c>
      <c r="E20" s="1">
        <v>19.0</v>
      </c>
      <c r="F20" s="1">
        <v>90.0</v>
      </c>
      <c r="G20" s="1">
        <v>1353.0</v>
      </c>
    </row>
    <row r="21">
      <c r="A21" s="1" t="s">
        <v>33</v>
      </c>
      <c r="B21" s="1">
        <v>60.0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</row>
    <row r="22">
      <c r="A22" s="1" t="s">
        <v>34</v>
      </c>
      <c r="B22" s="1">
        <v>201.0</v>
      </c>
      <c r="C22" s="1">
        <v>1.0</v>
      </c>
      <c r="D22" s="1">
        <v>1.0</v>
      </c>
      <c r="E22" s="1">
        <v>0.0</v>
      </c>
      <c r="F22" s="1">
        <v>0.0</v>
      </c>
      <c r="G22" s="1">
        <v>4.0</v>
      </c>
    </row>
    <row r="23">
      <c r="A23" s="1" t="s">
        <v>35</v>
      </c>
      <c r="B23" s="1">
        <v>20000.0</v>
      </c>
      <c r="C23" s="1" t="s">
        <v>28</v>
      </c>
      <c r="D23" s="1" t="s">
        <v>28</v>
      </c>
      <c r="E23" s="1">
        <v>24.0</v>
      </c>
      <c r="F23" s="1">
        <v>91.0</v>
      </c>
      <c r="G23" s="1">
        <v>535.0</v>
      </c>
    </row>
    <row r="24">
      <c r="A24" s="1" t="s">
        <v>36</v>
      </c>
      <c r="B24" s="1">
        <v>6000.0</v>
      </c>
      <c r="C24" s="1">
        <v>1403.0</v>
      </c>
      <c r="D24" s="1">
        <v>6.0</v>
      </c>
      <c r="E24" s="1">
        <v>24.0</v>
      </c>
      <c r="F24" s="1">
        <v>5.0</v>
      </c>
      <c r="G24" s="1">
        <v>122.0</v>
      </c>
    </row>
    <row r="25">
      <c r="A25" s="1" t="s">
        <v>37</v>
      </c>
      <c r="B25" s="1">
        <v>21.0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</row>
    <row r="26">
      <c r="A26" s="1" t="s">
        <v>38</v>
      </c>
      <c r="B26" s="1">
        <v>20001.0</v>
      </c>
      <c r="C26" s="1" t="s">
        <v>28</v>
      </c>
      <c r="D26" s="1" t="s">
        <v>28</v>
      </c>
      <c r="E26" s="1">
        <v>43.0</v>
      </c>
      <c r="F26" s="1">
        <v>96.0</v>
      </c>
      <c r="G26" s="1">
        <v>543.0</v>
      </c>
    </row>
    <row r="27">
      <c r="A27" s="1" t="s">
        <v>39</v>
      </c>
      <c r="B27" s="1">
        <v>7.0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</row>
    <row r="28">
      <c r="A28" s="1" t="s">
        <v>40</v>
      </c>
      <c r="B28" s="1">
        <v>60.0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</row>
    <row r="29">
      <c r="A29" s="1" t="s">
        <v>41</v>
      </c>
      <c r="B29" s="1">
        <v>6001.0</v>
      </c>
      <c r="C29" s="1">
        <v>1438.0</v>
      </c>
      <c r="D29" s="1">
        <v>1055.0</v>
      </c>
      <c r="E29" s="1">
        <v>5.0</v>
      </c>
      <c r="F29" s="1">
        <v>23.0</v>
      </c>
      <c r="G29" s="1">
        <v>311.0</v>
      </c>
    </row>
    <row r="30">
      <c r="A30" s="1" t="s">
        <v>42</v>
      </c>
      <c r="B30" s="1">
        <v>2000.0</v>
      </c>
      <c r="C30" s="1">
        <v>153.0</v>
      </c>
      <c r="D30" s="1">
        <v>112.0</v>
      </c>
      <c r="E30" s="1">
        <v>1.0</v>
      </c>
      <c r="F30" s="1">
        <v>6.0</v>
      </c>
      <c r="G30" s="1">
        <v>32.0</v>
      </c>
    </row>
    <row r="31">
      <c r="A31" s="1" t="s">
        <v>43</v>
      </c>
      <c r="B31" s="1">
        <v>20.0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</row>
    <row r="32">
      <c r="A32" s="1" t="s">
        <v>44</v>
      </c>
      <c r="B32" s="1">
        <v>2000.0</v>
      </c>
      <c r="C32" s="1">
        <v>153.0</v>
      </c>
      <c r="D32" s="1">
        <v>1.0</v>
      </c>
      <c r="E32" s="1">
        <v>4.0</v>
      </c>
      <c r="F32" s="1">
        <v>0.0</v>
      </c>
      <c r="G32" s="1">
        <v>32.0</v>
      </c>
    </row>
    <row r="33">
      <c r="A33" s="1" t="s">
        <v>45</v>
      </c>
      <c r="B33" s="1">
        <v>61.0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</row>
    <row r="34">
      <c r="A34" s="1" t="s">
        <v>46</v>
      </c>
      <c r="B34" s="1">
        <v>6001.0</v>
      </c>
      <c r="C34" s="1">
        <v>1416.0</v>
      </c>
      <c r="D34" s="1">
        <v>6.0</v>
      </c>
      <c r="E34" s="1">
        <v>24.0</v>
      </c>
      <c r="F34" s="1">
        <v>2.0</v>
      </c>
      <c r="G34" s="1">
        <v>121.0</v>
      </c>
    </row>
    <row r="35">
      <c r="A35" s="1" t="s">
        <v>47</v>
      </c>
      <c r="B35" s="1">
        <v>20001.0</v>
      </c>
      <c r="C35" s="1" t="s">
        <v>28</v>
      </c>
      <c r="D35" s="1">
        <v>19.0</v>
      </c>
      <c r="E35" s="1">
        <v>119.0</v>
      </c>
      <c r="F35" s="1">
        <v>13.0</v>
      </c>
      <c r="G35" s="1">
        <v>1297.0</v>
      </c>
    </row>
    <row r="36">
      <c r="A36" s="1" t="s">
        <v>48</v>
      </c>
      <c r="B36" s="1">
        <v>601.0</v>
      </c>
      <c r="C36" s="1">
        <v>13.0</v>
      </c>
      <c r="D36" s="1">
        <v>0.0</v>
      </c>
      <c r="E36" s="1">
        <v>1.0</v>
      </c>
      <c r="F36" s="1">
        <v>0.0</v>
      </c>
      <c r="G36" s="1">
        <v>18.0</v>
      </c>
    </row>
    <row r="37">
      <c r="A37" s="1" t="s">
        <v>49</v>
      </c>
      <c r="B37" s="1">
        <v>20.0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</row>
    <row r="38">
      <c r="A38" s="1" t="s">
        <v>50</v>
      </c>
      <c r="B38" s="1">
        <v>201.0</v>
      </c>
      <c r="C38" s="1">
        <v>1.0</v>
      </c>
      <c r="D38" s="1">
        <v>0.0</v>
      </c>
      <c r="E38" s="1">
        <v>0.0</v>
      </c>
      <c r="F38" s="1">
        <v>0.0</v>
      </c>
      <c r="G38" s="1">
        <v>1.0</v>
      </c>
    </row>
    <row r="39">
      <c r="A39" s="1" t="s">
        <v>51</v>
      </c>
      <c r="B39" s="1">
        <v>20000.0</v>
      </c>
      <c r="C39" s="1" t="s">
        <v>28</v>
      </c>
      <c r="D39" s="1">
        <v>14.0</v>
      </c>
      <c r="E39" s="1">
        <v>113.0</v>
      </c>
      <c r="F39" s="1">
        <v>9.0</v>
      </c>
      <c r="G39" s="1">
        <v>512.0</v>
      </c>
    </row>
    <row r="40">
      <c r="A40" s="1" t="s">
        <v>52</v>
      </c>
      <c r="B40" s="1">
        <v>200.0</v>
      </c>
      <c r="C40" s="1">
        <v>1.0</v>
      </c>
      <c r="D40" s="1">
        <v>0.0</v>
      </c>
      <c r="E40" s="1">
        <v>0.0</v>
      </c>
      <c r="F40" s="1">
        <v>0.0</v>
      </c>
      <c r="G40" s="1">
        <v>1.0</v>
      </c>
    </row>
    <row r="41">
      <c r="A41" s="1" t="s">
        <v>53</v>
      </c>
      <c r="B41" s="1">
        <v>600.0</v>
      </c>
      <c r="C41" s="1">
        <v>13.0</v>
      </c>
      <c r="D41" s="1">
        <v>0.0</v>
      </c>
      <c r="E41" s="1">
        <v>1.0</v>
      </c>
      <c r="F41" s="1">
        <v>0.0</v>
      </c>
      <c r="G41" s="1">
        <v>7.0</v>
      </c>
    </row>
    <row r="42">
      <c r="A42" s="1" t="s">
        <v>54</v>
      </c>
      <c r="B42" s="1">
        <v>200.0</v>
      </c>
      <c r="C42" s="1">
        <v>1.0</v>
      </c>
      <c r="D42" s="1">
        <v>1.0</v>
      </c>
      <c r="E42" s="1">
        <v>0.0</v>
      </c>
      <c r="F42" s="1">
        <v>0.0</v>
      </c>
      <c r="G42" s="1">
        <v>1.0</v>
      </c>
    </row>
    <row r="43">
      <c r="A43" s="1" t="s">
        <v>55</v>
      </c>
      <c r="B43" s="1">
        <v>2001.0</v>
      </c>
      <c r="C43" s="1">
        <v>153.0</v>
      </c>
      <c r="D43" s="1">
        <v>1.0</v>
      </c>
      <c r="E43" s="1">
        <v>5.0</v>
      </c>
      <c r="F43" s="1">
        <v>1.0</v>
      </c>
      <c r="G43" s="1">
        <v>80.0</v>
      </c>
    </row>
    <row r="44">
      <c r="A44" s="1" t="s">
        <v>56</v>
      </c>
      <c r="B44" s="1">
        <v>60.0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</row>
    <row r="45">
      <c r="A45" s="1" t="s">
        <v>57</v>
      </c>
      <c r="B45" s="1">
        <v>201.0</v>
      </c>
      <c r="C45" s="1">
        <v>1.0</v>
      </c>
      <c r="D45" s="1">
        <v>1.0</v>
      </c>
      <c r="E45" s="1">
        <v>0.0</v>
      </c>
      <c r="F45" s="1">
        <v>0.0</v>
      </c>
      <c r="G45" s="1">
        <v>1.0</v>
      </c>
    </row>
    <row r="46">
      <c r="A46" s="1" t="s">
        <v>58</v>
      </c>
      <c r="B46" s="1">
        <v>6.0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</row>
    <row r="47">
      <c r="A47" s="1" t="s">
        <v>59</v>
      </c>
      <c r="B47" s="1">
        <v>601.0</v>
      </c>
      <c r="C47" s="1">
        <v>13.0</v>
      </c>
      <c r="D47" s="1">
        <v>10.0</v>
      </c>
      <c r="E47" s="1">
        <v>0.0</v>
      </c>
      <c r="F47" s="1">
        <v>1.0</v>
      </c>
      <c r="G47" s="1">
        <v>18.0</v>
      </c>
    </row>
    <row r="48">
      <c r="A48" s="1" t="s">
        <v>60</v>
      </c>
      <c r="B48" s="1">
        <v>2000.0</v>
      </c>
      <c r="C48" s="1">
        <v>152.0</v>
      </c>
      <c r="D48" s="1">
        <v>112.0</v>
      </c>
      <c r="E48" s="1">
        <v>2.0</v>
      </c>
      <c r="F48" s="1">
        <v>6.0</v>
      </c>
      <c r="G48" s="1">
        <v>33.0</v>
      </c>
    </row>
    <row r="49">
      <c r="A49" s="1" t="s">
        <v>61</v>
      </c>
      <c r="B49" s="1">
        <v>21.0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</row>
    <row r="50">
      <c r="A50" s="1" t="s">
        <v>62</v>
      </c>
      <c r="B50" s="1">
        <v>6001.0</v>
      </c>
      <c r="C50" s="1">
        <v>1447.0</v>
      </c>
      <c r="D50" s="1">
        <v>1056.0</v>
      </c>
      <c r="E50" s="1">
        <v>7.0</v>
      </c>
      <c r="F50" s="1">
        <v>22.0</v>
      </c>
      <c r="G50" s="1">
        <v>125.0</v>
      </c>
    </row>
    <row r="51">
      <c r="A51" s="1" t="s">
        <v>63</v>
      </c>
      <c r="B51" s="1">
        <v>600.0</v>
      </c>
      <c r="C51" s="1">
        <v>13.0</v>
      </c>
      <c r="D51" s="1">
        <v>10.0</v>
      </c>
      <c r="E51" s="1">
        <v>0.0</v>
      </c>
      <c r="F51" s="1">
        <v>1.0</v>
      </c>
      <c r="G51" s="1">
        <v>7.0</v>
      </c>
    </row>
    <row r="52">
      <c r="A52" s="1" t="s">
        <v>64</v>
      </c>
      <c r="B52" s="1">
        <v>61.0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</row>
    <row r="53">
      <c r="A53" s="1" t="s">
        <v>65</v>
      </c>
      <c r="B53" s="1">
        <v>2001.0</v>
      </c>
      <c r="C53" s="1">
        <v>153.0</v>
      </c>
      <c r="D53" s="1">
        <v>2.0</v>
      </c>
      <c r="E53" s="1">
        <v>5.0</v>
      </c>
      <c r="F53" s="1">
        <v>0.0</v>
      </c>
      <c r="G53" s="1">
        <v>31.0</v>
      </c>
    </row>
    <row r="54">
      <c r="A54" s="1" t="s">
        <v>66</v>
      </c>
      <c r="B54" s="1">
        <v>6.0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</row>
    <row r="55">
      <c r="A55" s="1" t="s">
        <v>67</v>
      </c>
      <c r="B55" s="1">
        <v>21.0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</row>
    <row r="56">
      <c r="A56" s="1" t="s">
        <v>68</v>
      </c>
      <c r="B56" s="1">
        <v>6001.0</v>
      </c>
      <c r="C56" s="1">
        <v>1455.0</v>
      </c>
      <c r="D56" s="1">
        <v>5.0</v>
      </c>
      <c r="E56" s="1">
        <v>22.0</v>
      </c>
      <c r="F56" s="1">
        <v>4.0</v>
      </c>
      <c r="G56" s="1">
        <v>301.0</v>
      </c>
    </row>
    <row r="57">
      <c r="A57" s="1" t="s">
        <v>69</v>
      </c>
      <c r="B57" s="1">
        <v>6.0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</row>
    <row r="58">
      <c r="A58" s="1" t="s">
        <v>70</v>
      </c>
      <c r="B58" s="1">
        <v>20001.0</v>
      </c>
      <c r="C58" s="1" t="s">
        <v>28</v>
      </c>
      <c r="D58" s="1">
        <v>20.0</v>
      </c>
      <c r="E58" s="1">
        <v>122.0</v>
      </c>
      <c r="F58" s="1">
        <v>9.0</v>
      </c>
      <c r="G58" s="1">
        <v>512.0</v>
      </c>
    </row>
    <row r="59">
      <c r="A59" s="1" t="s">
        <v>71</v>
      </c>
      <c r="B59" s="1">
        <v>20.0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</row>
    <row r="60">
      <c r="A60" s="1" t="s">
        <v>72</v>
      </c>
      <c r="B60" s="1">
        <v>7.0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</row>
    <row r="61">
      <c r="A61" s="1" t="s">
        <v>73</v>
      </c>
      <c r="B61" s="1">
        <v>60.0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</row>
    <row r="62">
      <c r="A62" s="1" t="s">
        <v>74</v>
      </c>
      <c r="B62" s="1">
        <v>20000.0</v>
      </c>
      <c r="C62" s="1" t="s">
        <v>28</v>
      </c>
      <c r="D62" s="1">
        <v>21.0</v>
      </c>
      <c r="E62" s="1">
        <v>133.0</v>
      </c>
      <c r="F62" s="1">
        <v>19.0</v>
      </c>
      <c r="G62" s="1">
        <v>515.0</v>
      </c>
    </row>
    <row r="63">
      <c r="A63" s="1" t="s">
        <v>75</v>
      </c>
      <c r="B63" s="1">
        <v>6000.0</v>
      </c>
      <c r="C63" s="1">
        <v>1425.0</v>
      </c>
      <c r="D63" s="1">
        <v>1060.0</v>
      </c>
      <c r="E63" s="1">
        <v>8.0</v>
      </c>
      <c r="F63" s="1">
        <v>23.0</v>
      </c>
      <c r="G63" s="1">
        <v>125.0</v>
      </c>
    </row>
    <row r="64">
      <c r="A64" s="1" t="s">
        <v>76</v>
      </c>
      <c r="B64" s="1">
        <v>2001.0</v>
      </c>
      <c r="C64" s="1">
        <v>158.0</v>
      </c>
      <c r="D64" s="1">
        <v>116.0</v>
      </c>
      <c r="E64" s="1">
        <v>2.0</v>
      </c>
      <c r="F64" s="1">
        <v>6.0</v>
      </c>
      <c r="G64" s="1">
        <v>33.0</v>
      </c>
    </row>
    <row r="65">
      <c r="A65" s="1" t="s">
        <v>77</v>
      </c>
      <c r="B65" s="1">
        <v>61.0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</row>
    <row r="66">
      <c r="A66" s="1" t="s">
        <v>78</v>
      </c>
      <c r="B66" s="1">
        <v>10.0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</row>
    <row r="67">
      <c r="A67" s="1" t="s">
        <v>79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</row>
    <row r="68">
      <c r="A68" s="1" t="s">
        <v>80</v>
      </c>
      <c r="B68" s="1">
        <v>14.0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</row>
    <row r="69">
      <c r="A69" s="1" t="s">
        <v>81</v>
      </c>
      <c r="B69" s="1">
        <v>4.0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</row>
    <row r="70">
      <c r="A70" s="1" t="s">
        <v>82</v>
      </c>
      <c r="B70" s="1">
        <v>10.0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</row>
    <row r="71">
      <c r="A71" s="1" t="s">
        <v>83</v>
      </c>
      <c r="B71" s="1">
        <v>3.0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</row>
    <row r="72">
      <c r="A72" s="1" t="s">
        <v>84</v>
      </c>
      <c r="B72" s="1">
        <v>3.0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</row>
    <row r="73">
      <c r="A73" s="1" t="s">
        <v>85</v>
      </c>
      <c r="B73" s="1">
        <v>29.0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</row>
    <row r="74">
      <c r="A74" s="1" t="s">
        <v>86</v>
      </c>
      <c r="B74" s="1">
        <v>6.0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</row>
    <row r="75">
      <c r="A75" s="1" t="s">
        <v>87</v>
      </c>
      <c r="B75" s="1">
        <v>3.0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</row>
    <row r="76">
      <c r="A76" s="1" t="s">
        <v>88</v>
      </c>
      <c r="B76" s="1">
        <v>3.0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</row>
    <row r="77">
      <c r="A77" s="1" t="s">
        <v>89</v>
      </c>
      <c r="B77" s="1">
        <v>7.0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</row>
    <row r="78">
      <c r="A78" s="1" t="s">
        <v>90</v>
      </c>
      <c r="B78" s="1">
        <v>9.0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</row>
    <row r="79">
      <c r="A79" s="1" t="s">
        <v>91</v>
      </c>
      <c r="B79" s="1">
        <v>9.0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</row>
    <row r="80">
      <c r="A80" s="1" t="s">
        <v>92</v>
      </c>
      <c r="B80" s="1">
        <v>7.0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</row>
    <row r="81">
      <c r="A81" s="1" t="s">
        <v>93</v>
      </c>
      <c r="B81" s="1">
        <v>9.0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</row>
    <row r="82">
      <c r="A82" s="1" t="s">
        <v>94</v>
      </c>
      <c r="B82" s="1">
        <v>5.0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</row>
    <row r="83">
      <c r="A83" s="1" t="s">
        <v>95</v>
      </c>
      <c r="B83" s="1">
        <v>3.0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</row>
    <row r="84">
      <c r="A84" s="1" t="s">
        <v>96</v>
      </c>
      <c r="B84" s="1">
        <v>7.0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</row>
    <row r="85">
      <c r="A85" s="1" t="s">
        <v>97</v>
      </c>
      <c r="B85" s="1">
        <v>7.0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</row>
    <row r="86">
      <c r="A86" s="1" t="s">
        <v>98</v>
      </c>
      <c r="B86" s="1">
        <v>12.0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</row>
    <row r="87">
      <c r="A87" s="1" t="s">
        <v>99</v>
      </c>
      <c r="B87" s="1">
        <v>1792.0</v>
      </c>
      <c r="C87" s="1">
        <v>9.0</v>
      </c>
      <c r="D87" s="1">
        <v>0.0</v>
      </c>
      <c r="E87" s="1">
        <v>0.0</v>
      </c>
      <c r="F87" s="1">
        <v>0.0</v>
      </c>
      <c r="G87" s="1">
        <v>1.0</v>
      </c>
    </row>
    <row r="88">
      <c r="A88" s="1" t="s">
        <v>100</v>
      </c>
      <c r="B88" s="1">
        <v>55.0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</row>
    <row r="89">
      <c r="A89" s="1" t="s">
        <v>101</v>
      </c>
      <c r="B89" s="1">
        <v>21.0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</row>
    <row r="90">
      <c r="A90" s="1" t="s">
        <v>102</v>
      </c>
      <c r="B90" s="1">
        <v>55.0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</row>
    <row r="91">
      <c r="A91" s="1" t="s">
        <v>103</v>
      </c>
      <c r="B91" s="1">
        <v>304.0</v>
      </c>
      <c r="C91" s="1">
        <v>2.0</v>
      </c>
      <c r="D91" s="1">
        <v>0.0</v>
      </c>
      <c r="E91" s="1">
        <v>0.0</v>
      </c>
      <c r="F91" s="1">
        <v>0.0</v>
      </c>
      <c r="G91" s="1">
        <v>0.0</v>
      </c>
    </row>
    <row r="92">
      <c r="A92" s="1" t="s">
        <v>104</v>
      </c>
      <c r="B92" s="1">
        <v>1733.0</v>
      </c>
      <c r="C92" s="1">
        <v>41.0</v>
      </c>
      <c r="D92" s="1">
        <v>1.0</v>
      </c>
      <c r="E92" s="1">
        <v>3.0</v>
      </c>
      <c r="F92" s="1">
        <v>1.0</v>
      </c>
      <c r="G92" s="1">
        <v>13.0</v>
      </c>
    </row>
    <row r="93">
      <c r="A93" s="1" t="s">
        <v>105</v>
      </c>
      <c r="B93" s="1">
        <v>304.0</v>
      </c>
      <c r="C93" s="1">
        <v>2.0</v>
      </c>
      <c r="D93" s="1">
        <v>0.0</v>
      </c>
      <c r="E93" s="1">
        <v>0.0</v>
      </c>
      <c r="F93" s="1">
        <v>0.0</v>
      </c>
      <c r="G93" s="1">
        <v>0.0</v>
      </c>
    </row>
    <row r="94">
      <c r="A94" s="1" t="s">
        <v>106</v>
      </c>
      <c r="B94" s="1">
        <v>1733.0</v>
      </c>
      <c r="C94" s="1">
        <v>46.0</v>
      </c>
      <c r="D94" s="1">
        <v>1.0</v>
      </c>
      <c r="E94" s="1">
        <v>2.0</v>
      </c>
      <c r="F94" s="1">
        <v>1.0</v>
      </c>
      <c r="G94" s="1">
        <v>9.0</v>
      </c>
    </row>
    <row r="95">
      <c r="A95" s="1" t="s">
        <v>107</v>
      </c>
      <c r="B95" s="1">
        <v>209.0</v>
      </c>
      <c r="C95" s="1">
        <v>1.0</v>
      </c>
      <c r="D95" s="1">
        <v>0.0</v>
      </c>
      <c r="E95" s="1">
        <v>0.0</v>
      </c>
      <c r="F95" s="1">
        <v>0.0</v>
      </c>
      <c r="G95" s="1">
        <v>1.0</v>
      </c>
    </row>
    <row r="96">
      <c r="A96" s="1" t="s">
        <v>108</v>
      </c>
      <c r="B96" s="1">
        <v>209.0</v>
      </c>
      <c r="C96" s="1">
        <v>1.0</v>
      </c>
      <c r="D96" s="1">
        <v>0.0</v>
      </c>
      <c r="E96" s="1">
        <v>0.0</v>
      </c>
      <c r="F96" s="1">
        <v>0.0</v>
      </c>
      <c r="G96" s="1">
        <v>1.0</v>
      </c>
    </row>
    <row r="97">
      <c r="A97" s="1" t="s">
        <v>109</v>
      </c>
      <c r="B97" s="1">
        <v>1306.0</v>
      </c>
      <c r="C97" s="1">
        <v>32.0</v>
      </c>
      <c r="D97" s="1">
        <v>1.0</v>
      </c>
      <c r="E97" s="1">
        <v>1.0</v>
      </c>
      <c r="F97" s="1">
        <v>0.0</v>
      </c>
      <c r="G97" s="1">
        <v>10.0</v>
      </c>
    </row>
    <row r="98">
      <c r="A98" s="1" t="s">
        <v>110</v>
      </c>
      <c r="B98" s="1">
        <v>304.0</v>
      </c>
      <c r="C98" s="1">
        <v>2.0</v>
      </c>
      <c r="D98" s="1">
        <v>0.0</v>
      </c>
      <c r="E98" s="1">
        <v>0.0</v>
      </c>
      <c r="F98" s="1">
        <v>0.0</v>
      </c>
      <c r="G98" s="1">
        <v>0.0</v>
      </c>
    </row>
    <row r="99">
      <c r="A99" s="1" t="s">
        <v>111</v>
      </c>
      <c r="B99" s="1">
        <v>147.0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</row>
    <row r="100">
      <c r="A100" s="1" t="s">
        <v>112</v>
      </c>
      <c r="B100" s="1">
        <v>150.0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</row>
    <row r="101">
      <c r="A101" s="1" t="s">
        <v>113</v>
      </c>
      <c r="B101" s="1">
        <v>1765.0</v>
      </c>
      <c r="C101" s="1">
        <v>48.0</v>
      </c>
      <c r="D101" s="1">
        <v>1.0</v>
      </c>
      <c r="E101" s="1">
        <v>2.0</v>
      </c>
      <c r="F101" s="1">
        <v>1.0</v>
      </c>
      <c r="G101" s="1">
        <v>10.0</v>
      </c>
    </row>
    <row r="102">
      <c r="A102" s="1" t="s">
        <v>114</v>
      </c>
      <c r="B102" s="1">
        <v>1.0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</row>
    <row r="103">
      <c r="A103" s="1" t="s">
        <v>115</v>
      </c>
      <c r="B103" s="1">
        <v>13.0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</row>
    <row r="104">
      <c r="A104" s="1" t="s">
        <v>116</v>
      </c>
      <c r="B104" s="1">
        <v>7.0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</row>
    <row r="105">
      <c r="A105" s="1" t="s">
        <v>117</v>
      </c>
      <c r="B105" s="1">
        <v>68.0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</row>
    <row r="106">
      <c r="A106" s="1" t="s">
        <v>118</v>
      </c>
      <c r="B106" s="1">
        <v>42.0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</row>
    <row r="107">
      <c r="A107" s="1" t="s">
        <v>119</v>
      </c>
      <c r="B107" s="1">
        <v>16.0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</row>
    <row r="108">
      <c r="A108" s="1" t="s">
        <v>120</v>
      </c>
      <c r="B108" s="1">
        <v>1.0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</row>
    <row r="109">
      <c r="A109" s="1" t="s">
        <v>121</v>
      </c>
      <c r="B109" s="1">
        <v>20.0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</row>
    <row r="110">
      <c r="A110" s="1" t="s">
        <v>122</v>
      </c>
      <c r="B110" s="1">
        <v>19.0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</row>
    <row r="111">
      <c r="A111" s="1" t="s">
        <v>123</v>
      </c>
      <c r="B111" s="1">
        <v>115.0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</row>
    <row r="112">
      <c r="A112" s="1" t="s">
        <v>124</v>
      </c>
      <c r="B112" s="1">
        <v>522.0</v>
      </c>
      <c r="C112" s="1">
        <v>10.0</v>
      </c>
      <c r="D112" s="1">
        <v>0.0</v>
      </c>
      <c r="E112" s="1">
        <v>0.0</v>
      </c>
      <c r="F112" s="1">
        <v>0.0</v>
      </c>
      <c r="G112" s="1">
        <v>6.0</v>
      </c>
    </row>
    <row r="113">
      <c r="A113" s="1" t="s">
        <v>125</v>
      </c>
      <c r="B113" s="1">
        <v>4591.0</v>
      </c>
      <c r="C113" s="1">
        <v>3.0</v>
      </c>
      <c r="D113" s="1">
        <v>1.0</v>
      </c>
      <c r="E113" s="1">
        <v>1.0</v>
      </c>
      <c r="F113" s="1">
        <v>1.0</v>
      </c>
      <c r="G113" s="1">
        <v>2.0</v>
      </c>
    </row>
    <row r="114">
      <c r="A114" s="1" t="s">
        <v>126</v>
      </c>
      <c r="B114" s="1">
        <v>1105.0</v>
      </c>
      <c r="C114" s="1">
        <v>33.0</v>
      </c>
      <c r="D114" s="1">
        <v>0.0</v>
      </c>
      <c r="E114" s="1">
        <v>1.0</v>
      </c>
      <c r="F114" s="1">
        <v>0.0</v>
      </c>
      <c r="G114" s="1">
        <v>8.0</v>
      </c>
    </row>
    <row r="115">
      <c r="A115" s="1" t="s">
        <v>127</v>
      </c>
      <c r="B115" s="1">
        <v>531.0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1" t="s">
        <v>128</v>
      </c>
      <c r="B116" s="1">
        <v>55.0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</row>
    <row r="117">
      <c r="A117" s="1" t="s">
        <v>129</v>
      </c>
      <c r="B117" s="1">
        <v>335.0</v>
      </c>
      <c r="C117" s="1">
        <v>3.0</v>
      </c>
      <c r="D117" s="1">
        <v>0.0</v>
      </c>
      <c r="E117" s="1">
        <v>0.0</v>
      </c>
      <c r="F117" s="1">
        <v>0.0</v>
      </c>
      <c r="G117" s="1">
        <v>1.0</v>
      </c>
    </row>
    <row r="118">
      <c r="A118" s="1" t="s">
        <v>130</v>
      </c>
      <c r="B118" s="1">
        <v>158.0</v>
      </c>
      <c r="C118" s="1">
        <v>1.0</v>
      </c>
      <c r="D118" s="1">
        <v>0.0</v>
      </c>
      <c r="E118" s="1">
        <v>0.0</v>
      </c>
      <c r="F118" s="1">
        <v>0.0</v>
      </c>
      <c r="G118" s="1">
        <v>1.0</v>
      </c>
    </row>
    <row r="119">
      <c r="A119" s="1" t="s">
        <v>131</v>
      </c>
      <c r="B119" s="1">
        <v>510.0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</row>
    <row r="120">
      <c r="A120" s="1" t="s">
        <v>132</v>
      </c>
      <c r="B120" s="1">
        <v>17.0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1" t="s">
        <v>133</v>
      </c>
      <c r="B121" s="1">
        <v>11005.0</v>
      </c>
      <c r="C121" s="1">
        <v>3396.0</v>
      </c>
      <c r="D121" s="1">
        <v>8.0</v>
      </c>
      <c r="E121" s="1">
        <v>35.0</v>
      </c>
      <c r="F121" s="1">
        <v>6.0</v>
      </c>
      <c r="G121" s="1">
        <v>127.0</v>
      </c>
    </row>
    <row r="122">
      <c r="A122" s="1" t="s">
        <v>134</v>
      </c>
      <c r="B122" s="1">
        <v>5202.0</v>
      </c>
      <c r="C122" s="1">
        <v>1087.0</v>
      </c>
      <c r="D122" s="1">
        <v>4.0</v>
      </c>
      <c r="E122" s="1">
        <v>18.0</v>
      </c>
      <c r="F122" s="1">
        <v>3.0</v>
      </c>
      <c r="G122" s="1">
        <v>104.0</v>
      </c>
    </row>
    <row r="123">
      <c r="A123" s="1" t="s">
        <v>135</v>
      </c>
      <c r="B123" s="1">
        <v>33005.0</v>
      </c>
      <c r="C123" s="1" t="s">
        <v>28</v>
      </c>
      <c r="D123" s="1">
        <v>25.0</v>
      </c>
      <c r="E123" s="1">
        <v>157.0</v>
      </c>
      <c r="F123" s="1">
        <v>20.0</v>
      </c>
      <c r="G123" s="1">
        <v>466.0</v>
      </c>
    </row>
    <row r="124">
      <c r="A124" s="1" t="s">
        <v>136</v>
      </c>
      <c r="B124" s="1">
        <v>629043.0</v>
      </c>
      <c r="C124" s="1">
        <v>316.0</v>
      </c>
      <c r="D124" s="1">
        <v>126.0</v>
      </c>
      <c r="E124" s="1">
        <v>128.0</v>
      </c>
      <c r="F124" s="1">
        <v>132.0</v>
      </c>
      <c r="G124" s="1">
        <v>136.0</v>
      </c>
    </row>
    <row r="125">
      <c r="A125" s="1" t="s">
        <v>137</v>
      </c>
      <c r="B125" s="1">
        <v>15602.0</v>
      </c>
      <c r="C125" s="1">
        <v>9851.0</v>
      </c>
      <c r="D125" s="1">
        <v>13.0</v>
      </c>
      <c r="E125" s="1">
        <v>83.0</v>
      </c>
      <c r="F125" s="1">
        <v>10.0</v>
      </c>
      <c r="G125" s="1">
        <v>376.0</v>
      </c>
    </row>
    <row r="126">
      <c r="A126" s="1" t="s">
        <v>138</v>
      </c>
      <c r="B126" s="1">
        <v>21993.0</v>
      </c>
      <c r="C126" s="1">
        <v>10.0</v>
      </c>
      <c r="D126" s="1">
        <v>4.0</v>
      </c>
      <c r="E126" s="1">
        <v>4.0</v>
      </c>
      <c r="F126" s="1">
        <v>4.0</v>
      </c>
      <c r="G126" s="1">
        <v>5.0</v>
      </c>
    </row>
    <row r="127">
      <c r="A127" s="1" t="s">
        <v>139</v>
      </c>
      <c r="B127" s="1">
        <v>1562.0</v>
      </c>
      <c r="C127" s="1">
        <v>92.0</v>
      </c>
      <c r="D127" s="1">
        <v>1.0</v>
      </c>
      <c r="E127" s="1">
        <v>3.0</v>
      </c>
      <c r="F127" s="1">
        <v>0.0</v>
      </c>
      <c r="G127" s="1">
        <v>24.0</v>
      </c>
    </row>
    <row r="128">
      <c r="A128" s="1" t="s">
        <v>140</v>
      </c>
      <c r="B128" s="1">
        <v>50301.0</v>
      </c>
      <c r="C128" s="1">
        <v>52.0</v>
      </c>
      <c r="D128" s="1">
        <v>14.0</v>
      </c>
      <c r="E128" s="1">
        <v>16.0</v>
      </c>
      <c r="F128" s="1">
        <v>14.0</v>
      </c>
      <c r="G128" s="1">
        <v>20.0</v>
      </c>
    </row>
    <row r="129">
      <c r="A129" s="1" t="s">
        <v>141</v>
      </c>
      <c r="B129" s="1">
        <v>3305.0</v>
      </c>
      <c r="C129" s="1">
        <v>295.0</v>
      </c>
      <c r="D129" s="1">
        <v>2.0</v>
      </c>
      <c r="E129" s="1">
        <v>7.0</v>
      </c>
      <c r="F129" s="1">
        <v>1.0</v>
      </c>
      <c r="G129" s="1">
        <v>30.0</v>
      </c>
    </row>
    <row r="130">
      <c r="A130" s="1" t="s">
        <v>142</v>
      </c>
      <c r="B130" s="1">
        <v>162.0</v>
      </c>
      <c r="C130" s="1">
        <v>1.0</v>
      </c>
      <c r="D130" s="1">
        <v>0.0</v>
      </c>
      <c r="E130" s="1">
        <v>0.0</v>
      </c>
      <c r="F130" s="1">
        <v>0.0</v>
      </c>
      <c r="G130" s="1">
        <v>1.0</v>
      </c>
    </row>
    <row r="131">
      <c r="A131" s="1" t="s">
        <v>143</v>
      </c>
      <c r="B131" s="1">
        <v>80002.0</v>
      </c>
      <c r="C131" s="1" t="s">
        <v>28</v>
      </c>
      <c r="D131" s="1">
        <v>72.0</v>
      </c>
      <c r="E131" s="1">
        <v>853.0</v>
      </c>
      <c r="F131" s="1">
        <v>55.0</v>
      </c>
      <c r="G131" s="1">
        <v>2608.0</v>
      </c>
    </row>
    <row r="132">
      <c r="A132" s="1" t="s">
        <v>144</v>
      </c>
      <c r="B132" s="1">
        <v>42.0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</row>
    <row r="133">
      <c r="A133" s="1" t="s">
        <v>145</v>
      </c>
      <c r="B133" s="1">
        <v>10401.0</v>
      </c>
      <c r="C133" s="1">
        <v>2169.0</v>
      </c>
      <c r="D133" s="1">
        <v>11.0</v>
      </c>
      <c r="E133" s="1">
        <v>45.0</v>
      </c>
      <c r="F133" s="1">
        <v>7.0</v>
      </c>
      <c r="G133" s="1">
        <v>276.0</v>
      </c>
    </row>
    <row r="134">
      <c r="A134" s="1" t="s">
        <v>146</v>
      </c>
      <c r="B134" s="1">
        <v>46.0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</row>
    <row r="135">
      <c r="A135" s="1" t="s">
        <v>147</v>
      </c>
      <c r="B135" s="1">
        <v>17.0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</row>
    <row r="136">
      <c r="A136" s="1" t="s">
        <v>148</v>
      </c>
      <c r="B136" s="1">
        <v>286.0</v>
      </c>
      <c r="C136" s="1">
        <v>1.0</v>
      </c>
      <c r="D136" s="1">
        <v>0.0</v>
      </c>
      <c r="E136" s="1">
        <v>0.0</v>
      </c>
      <c r="F136" s="1">
        <v>0.0</v>
      </c>
      <c r="G136" s="1">
        <v>3.0</v>
      </c>
    </row>
    <row r="137">
      <c r="A137" s="1" t="s">
        <v>149</v>
      </c>
      <c r="B137" s="1">
        <v>46.0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</row>
    <row r="138">
      <c r="A138" s="1" t="s">
        <v>150</v>
      </c>
      <c r="B138" s="1">
        <v>22.0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</row>
    <row r="139">
      <c r="A139" s="1" t="s">
        <v>151</v>
      </c>
      <c r="B139" s="1">
        <v>141.0</v>
      </c>
      <c r="C139" s="1">
        <v>0.0</v>
      </c>
      <c r="D139" s="1">
        <v>0.0</v>
      </c>
      <c r="E139" s="1">
        <v>0.0</v>
      </c>
      <c r="F139" s="1">
        <v>0.0</v>
      </c>
      <c r="G139" s="1">
        <v>1.0</v>
      </c>
    </row>
    <row r="140">
      <c r="A140" s="1" t="s">
        <v>152</v>
      </c>
      <c r="B140" s="1">
        <v>13.0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</row>
    <row r="141">
      <c r="A141" s="1" t="s">
        <v>153</v>
      </c>
      <c r="B141" s="1">
        <v>27.0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</row>
    <row r="142">
      <c r="A142" s="1" t="s">
        <v>154</v>
      </c>
      <c r="B142" s="1">
        <v>141.0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</row>
    <row r="143">
      <c r="A143" s="1" t="s">
        <v>155</v>
      </c>
      <c r="B143" s="1">
        <v>207.0</v>
      </c>
      <c r="C143" s="1">
        <v>1.0</v>
      </c>
      <c r="D143" s="1">
        <v>0.0</v>
      </c>
      <c r="E143" s="1">
        <v>0.0</v>
      </c>
      <c r="F143" s="1">
        <v>0.0</v>
      </c>
      <c r="G143" s="1">
        <v>1.0</v>
      </c>
    </row>
    <row r="144">
      <c r="A144" s="1" t="s">
        <v>156</v>
      </c>
      <c r="B144" s="1">
        <v>6.0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</row>
    <row r="145">
      <c r="A145" s="1" t="s">
        <v>157</v>
      </c>
      <c r="B145" s="1">
        <v>481.0</v>
      </c>
      <c r="C145" s="1">
        <v>5.0</v>
      </c>
      <c r="D145" s="1">
        <v>0.0</v>
      </c>
      <c r="E145" s="1">
        <v>0.0</v>
      </c>
      <c r="F145" s="1">
        <v>0.0</v>
      </c>
      <c r="G145" s="1">
        <v>6.0</v>
      </c>
    </row>
    <row r="146">
      <c r="A146" s="1" t="s">
        <v>158</v>
      </c>
      <c r="B146" s="1">
        <v>2007.0</v>
      </c>
      <c r="C146" s="1">
        <v>156.0</v>
      </c>
      <c r="D146" s="1">
        <v>1.0</v>
      </c>
      <c r="E146" s="1">
        <v>5.0</v>
      </c>
      <c r="F146" s="1">
        <v>1.0</v>
      </c>
      <c r="G146" s="1">
        <v>32.0</v>
      </c>
    </row>
    <row r="147">
      <c r="A147" s="1" t="s">
        <v>159</v>
      </c>
      <c r="B147" s="1">
        <v>7.0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</row>
    <row r="148">
      <c r="A148" s="1" t="s">
        <v>160</v>
      </c>
      <c r="B148" s="1">
        <v>4.0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</row>
    <row r="149">
      <c r="A149" s="1" t="s">
        <v>161</v>
      </c>
      <c r="B149" s="1">
        <v>3.0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</row>
    <row r="150">
      <c r="A150" s="1" t="s">
        <v>162</v>
      </c>
      <c r="B150" s="1">
        <v>6.0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</row>
    <row r="151">
      <c r="A151" s="1" t="s">
        <v>163</v>
      </c>
      <c r="B151" s="1">
        <v>46391.0</v>
      </c>
      <c r="C151" s="1">
        <v>280.0</v>
      </c>
      <c r="D151" s="1">
        <v>13.0</v>
      </c>
      <c r="E151" s="1">
        <v>12.0</v>
      </c>
      <c r="F151" s="1">
        <v>10.0</v>
      </c>
      <c r="G151" s="1">
        <v>11.0</v>
      </c>
    </row>
    <row r="152">
      <c r="A152" s="1" t="s">
        <v>164</v>
      </c>
      <c r="B152" s="1">
        <v>46406.0</v>
      </c>
      <c r="C152" s="1">
        <v>276.0</v>
      </c>
      <c r="D152" s="1">
        <v>13.0</v>
      </c>
      <c r="E152" s="1">
        <v>13.0</v>
      </c>
      <c r="F152" s="1">
        <v>10.0</v>
      </c>
      <c r="G152" s="1">
        <v>11.0</v>
      </c>
    </row>
    <row r="153">
      <c r="A153" s="1" t="s">
        <v>165</v>
      </c>
      <c r="B153" s="1">
        <v>34.0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</row>
    <row r="154">
      <c r="A154" s="1" t="s">
        <v>166</v>
      </c>
      <c r="B154" s="1">
        <v>77535.0</v>
      </c>
      <c r="C154" s="1">
        <v>1983.0</v>
      </c>
      <c r="D154" s="1">
        <v>465.0</v>
      </c>
      <c r="E154" s="1">
        <v>150.0</v>
      </c>
      <c r="F154" s="1">
        <v>31.0</v>
      </c>
      <c r="G154" s="1">
        <v>111.0</v>
      </c>
    </row>
    <row r="155">
      <c r="A155" s="1" t="s">
        <v>167</v>
      </c>
      <c r="B155" s="1">
        <v>46287.0</v>
      </c>
      <c r="C155" s="1">
        <v>277.0</v>
      </c>
      <c r="D155" s="1">
        <v>13.0</v>
      </c>
      <c r="E155" s="1">
        <v>12.0</v>
      </c>
      <c r="F155" s="1">
        <v>10.0</v>
      </c>
      <c r="G155" s="1">
        <v>11.0</v>
      </c>
    </row>
    <row r="156">
      <c r="A156" s="1" t="s">
        <v>168</v>
      </c>
      <c r="B156" s="1">
        <v>289104.0</v>
      </c>
      <c r="C156" s="1" t="s">
        <v>28</v>
      </c>
      <c r="D156" s="1">
        <v>1114.0</v>
      </c>
      <c r="E156" s="1">
        <v>167.0</v>
      </c>
      <c r="F156" s="1">
        <v>82.0</v>
      </c>
      <c r="G156" s="1">
        <v>122.0</v>
      </c>
    </row>
    <row r="157">
      <c r="A157" s="1" t="s">
        <v>169</v>
      </c>
      <c r="B157" s="1">
        <v>1296.0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</row>
    <row r="158">
      <c r="A158" s="1" t="s">
        <v>170</v>
      </c>
      <c r="B158" s="1">
        <v>45154.0</v>
      </c>
      <c r="C158" s="1">
        <v>264.0</v>
      </c>
      <c r="D158" s="1">
        <v>11.0</v>
      </c>
      <c r="E158" s="1">
        <v>12.0</v>
      </c>
      <c r="F158" s="1">
        <v>9.0</v>
      </c>
      <c r="G158" s="1">
        <v>10.0</v>
      </c>
    </row>
    <row r="159">
      <c r="A159" s="1" t="s">
        <v>171</v>
      </c>
      <c r="B159" s="1">
        <v>46341.0</v>
      </c>
      <c r="C159" s="1">
        <v>272.0</v>
      </c>
      <c r="D159" s="1">
        <v>13.0</v>
      </c>
      <c r="E159" s="1">
        <v>12.0</v>
      </c>
      <c r="F159" s="1">
        <v>10.0</v>
      </c>
      <c r="G159" s="1">
        <v>11.0</v>
      </c>
    </row>
    <row r="160">
      <c r="A160" s="1" t="s">
        <v>172</v>
      </c>
      <c r="B160" s="1">
        <v>34.0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</row>
    <row r="161">
      <c r="A161" s="1" t="s">
        <v>173</v>
      </c>
      <c r="B161" s="1">
        <v>301407.0</v>
      </c>
      <c r="C161" s="1" t="s">
        <v>28</v>
      </c>
      <c r="D161" s="1">
        <v>1479.0</v>
      </c>
      <c r="E161" s="1">
        <v>179.0</v>
      </c>
      <c r="F161" s="1">
        <v>85.0</v>
      </c>
      <c r="G161" s="1">
        <v>128.0</v>
      </c>
    </row>
    <row r="162">
      <c r="A162" s="1" t="s">
        <v>174</v>
      </c>
      <c r="B162" s="1">
        <v>46314.0</v>
      </c>
      <c r="C162" s="1">
        <v>275.0</v>
      </c>
      <c r="D162" s="1">
        <v>13.0</v>
      </c>
      <c r="E162" s="1">
        <v>12.0</v>
      </c>
      <c r="F162" s="1">
        <v>10.0</v>
      </c>
      <c r="G162" s="1">
        <v>11.0</v>
      </c>
    </row>
    <row r="163">
      <c r="A163" s="1" t="s">
        <v>175</v>
      </c>
      <c r="B163" s="1">
        <v>66277.0</v>
      </c>
      <c r="C163" s="1">
        <v>1862.0</v>
      </c>
      <c r="D163" s="1">
        <v>315.0</v>
      </c>
      <c r="E163" s="1">
        <v>124.0</v>
      </c>
      <c r="F163" s="1">
        <v>27.0</v>
      </c>
      <c r="G163" s="1">
        <v>102.0</v>
      </c>
    </row>
    <row r="164">
      <c r="A164" s="1" t="s">
        <v>176</v>
      </c>
      <c r="B164" s="1">
        <v>12.0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</row>
    <row r="165">
      <c r="A165" s="1" t="s">
        <v>177</v>
      </c>
      <c r="B165" s="1">
        <v>65775.0</v>
      </c>
      <c r="C165" s="1">
        <v>1877.0</v>
      </c>
      <c r="D165" s="1">
        <v>324.0</v>
      </c>
      <c r="E165" s="1">
        <v>123.0</v>
      </c>
      <c r="F165" s="1">
        <v>27.0</v>
      </c>
      <c r="G165" s="1">
        <v>103.0</v>
      </c>
    </row>
    <row r="166">
      <c r="A166" s="1" t="s">
        <v>178</v>
      </c>
      <c r="B166" s="1">
        <v>288038.0</v>
      </c>
      <c r="C166" s="1" t="s">
        <v>28</v>
      </c>
      <c r="D166" s="1">
        <v>1109.0</v>
      </c>
      <c r="E166" s="1">
        <v>160.0</v>
      </c>
      <c r="F166" s="1">
        <v>81.0</v>
      </c>
      <c r="G166" s="1">
        <v>118.0</v>
      </c>
    </row>
    <row r="167">
      <c r="A167" s="1" t="s">
        <v>179</v>
      </c>
      <c r="B167" s="1">
        <v>77535.0</v>
      </c>
      <c r="C167" s="1">
        <v>1996.0</v>
      </c>
      <c r="D167" s="1">
        <v>468.0</v>
      </c>
      <c r="E167" s="1">
        <v>153.0</v>
      </c>
      <c r="F167" s="1">
        <v>32.0</v>
      </c>
      <c r="G167" s="1">
        <v>113.0</v>
      </c>
    </row>
    <row r="168">
      <c r="A168" s="1" t="s">
        <v>180</v>
      </c>
      <c r="B168" s="1">
        <v>4142.0</v>
      </c>
      <c r="C168" s="1">
        <v>29.0</v>
      </c>
      <c r="D168" s="1">
        <v>3.0</v>
      </c>
      <c r="E168" s="1">
        <v>5.0</v>
      </c>
      <c r="F168" s="1">
        <v>1.0</v>
      </c>
      <c r="G168" s="1">
        <v>7.0</v>
      </c>
    </row>
    <row r="169">
      <c r="A169" s="1" t="s">
        <v>181</v>
      </c>
      <c r="B169" s="1">
        <v>301353.0</v>
      </c>
      <c r="C169" s="1" t="s">
        <v>28</v>
      </c>
      <c r="D169" s="1">
        <v>1476.0</v>
      </c>
      <c r="E169" s="1">
        <v>179.0</v>
      </c>
      <c r="F169" s="1">
        <v>85.0</v>
      </c>
      <c r="G169" s="1">
        <v>124.0</v>
      </c>
    </row>
    <row r="170">
      <c r="A170" s="1" t="s">
        <v>182</v>
      </c>
      <c r="B170" s="1">
        <v>613.0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</row>
    <row r="171">
      <c r="A171" s="1" t="s">
        <v>183</v>
      </c>
      <c r="B171" s="1">
        <v>66277.0</v>
      </c>
      <c r="C171" s="1">
        <v>1871.0</v>
      </c>
      <c r="D171" s="1">
        <v>315.0</v>
      </c>
      <c r="E171" s="1">
        <v>123.0</v>
      </c>
      <c r="F171" s="1">
        <v>28.0</v>
      </c>
      <c r="G171" s="1">
        <v>103.0</v>
      </c>
    </row>
    <row r="172">
      <c r="A172" s="1" t="s">
        <v>184</v>
      </c>
      <c r="B172" s="1">
        <v>6865.0</v>
      </c>
      <c r="C172" s="1">
        <v>41.0</v>
      </c>
      <c r="D172" s="1">
        <v>7.0</v>
      </c>
      <c r="E172" s="1">
        <v>9.0</v>
      </c>
      <c r="F172" s="1">
        <v>2.0</v>
      </c>
      <c r="G172" s="1">
        <v>9.0</v>
      </c>
    </row>
    <row r="173">
      <c r="A173" s="1" t="s">
        <v>185</v>
      </c>
      <c r="B173" s="1">
        <v>154.0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</row>
    <row r="174">
      <c r="A174" s="1" t="s">
        <v>186</v>
      </c>
      <c r="B174" s="1">
        <v>77535.0</v>
      </c>
      <c r="C174" s="1">
        <v>2011.0</v>
      </c>
      <c r="D174" s="1">
        <v>476.0</v>
      </c>
      <c r="E174" s="1">
        <v>153.0</v>
      </c>
      <c r="F174" s="1">
        <v>32.0</v>
      </c>
      <c r="G174" s="1">
        <v>114.0</v>
      </c>
    </row>
    <row r="175">
      <c r="A175" s="1" t="s">
        <v>187</v>
      </c>
      <c r="B175" s="1">
        <v>288229.0</v>
      </c>
      <c r="C175" s="1" t="s">
        <v>28</v>
      </c>
      <c r="D175" s="1">
        <v>1108.0</v>
      </c>
      <c r="E175" s="1">
        <v>164.0</v>
      </c>
      <c r="F175" s="1">
        <v>81.0</v>
      </c>
      <c r="G175" s="1">
        <v>118.0</v>
      </c>
    </row>
    <row r="176">
      <c r="A176" s="1" t="s">
        <v>188</v>
      </c>
      <c r="B176" s="1">
        <v>86.0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</row>
    <row r="177">
      <c r="A177" s="1" t="s">
        <v>189</v>
      </c>
      <c r="B177" s="1">
        <v>10.0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</row>
    <row r="178">
      <c r="A178" s="1" t="s">
        <v>190</v>
      </c>
      <c r="B178" s="1">
        <v>11.0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</row>
    <row r="179">
      <c r="A179" s="1" t="s">
        <v>191</v>
      </c>
      <c r="B179" s="1">
        <v>67.0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</row>
    <row r="180">
      <c r="A180" s="1" t="s">
        <v>192</v>
      </c>
      <c r="B180" s="1">
        <v>37.0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</row>
    <row r="181">
      <c r="A181" s="1" t="s">
        <v>193</v>
      </c>
      <c r="B181" s="1">
        <v>22.0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</row>
    <row r="182">
      <c r="A182" s="1" t="s">
        <v>194</v>
      </c>
      <c r="B182" s="1">
        <v>12.0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</row>
    <row r="183">
      <c r="A183" s="1" t="s">
        <v>195</v>
      </c>
      <c r="B183" s="1">
        <v>25.0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</row>
    <row r="184">
      <c r="A184" s="1" t="s">
        <v>196</v>
      </c>
      <c r="B184" s="1">
        <v>44.0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</row>
    <row r="185">
      <c r="A185" s="1" t="s">
        <v>197</v>
      </c>
      <c r="B185" s="1">
        <v>15.0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</row>
    <row r="186">
      <c r="A186" s="1" t="s">
        <v>198</v>
      </c>
      <c r="B186" s="1">
        <v>25.0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</row>
    <row r="187">
      <c r="A187" s="1" t="s">
        <v>199</v>
      </c>
      <c r="B187" s="1">
        <v>7.0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</row>
    <row r="188">
      <c r="A188" s="1" t="s">
        <v>200</v>
      </c>
      <c r="B188" s="1">
        <v>38.0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</row>
    <row r="189">
      <c r="A189" s="1" t="s">
        <v>201</v>
      </c>
      <c r="B189" s="1">
        <v>16.0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</row>
    <row r="190">
      <c r="A190" s="1" t="s">
        <v>202</v>
      </c>
      <c r="B190" s="1">
        <v>3.0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</row>
    <row r="191">
      <c r="A191" s="1" t="s">
        <v>203</v>
      </c>
      <c r="B191" s="1">
        <v>14.0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</row>
    <row r="192">
      <c r="A192" s="1" t="s">
        <v>204</v>
      </c>
      <c r="B192" s="1">
        <v>11.0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</row>
    <row r="193">
      <c r="A193" s="1" t="s">
        <v>205</v>
      </c>
      <c r="B193" s="1">
        <v>50.0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</row>
    <row r="194">
      <c r="A194" s="1" t="s">
        <v>206</v>
      </c>
      <c r="B194" s="1">
        <v>40.0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</row>
    <row r="195">
      <c r="A195" s="1" t="s">
        <v>207</v>
      </c>
      <c r="B195" s="1">
        <v>34.0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</row>
    <row r="196">
      <c r="A196" s="1" t="s">
        <v>208</v>
      </c>
      <c r="B196" s="1">
        <v>21.0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</row>
    <row r="197">
      <c r="A197" s="1" t="s">
        <v>209</v>
      </c>
      <c r="B197" s="1">
        <v>10.0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</row>
    <row r="198">
      <c r="A198" s="1" t="s">
        <v>210</v>
      </c>
      <c r="B198" s="1">
        <v>81.0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</row>
    <row r="199">
      <c r="A199" s="1" t="s">
        <v>211</v>
      </c>
      <c r="B199" s="1">
        <v>11.0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</row>
    <row r="200">
      <c r="A200" s="1" t="s">
        <v>212</v>
      </c>
      <c r="B200" s="1">
        <v>77.0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</row>
    <row r="201">
      <c r="A201" s="1" t="s">
        <v>213</v>
      </c>
      <c r="B201" s="1">
        <v>12.0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</row>
    <row r="202">
      <c r="A202" s="1" t="s">
        <v>214</v>
      </c>
      <c r="B202" s="1">
        <v>59.0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</row>
    <row r="203">
      <c r="A203" s="1" t="s">
        <v>215</v>
      </c>
      <c r="B203" s="1">
        <v>43.0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</row>
    <row r="204">
      <c r="A204" s="1" t="s">
        <v>216</v>
      </c>
      <c r="B204" s="1">
        <v>4.0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</row>
    <row r="205">
      <c r="A205" s="1" t="s">
        <v>217</v>
      </c>
      <c r="B205" s="1">
        <v>21.0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</row>
    <row r="206">
      <c r="A206" s="1" t="s">
        <v>218</v>
      </c>
      <c r="B206" s="1">
        <v>5.0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</row>
    <row r="207">
      <c r="A207" s="1" t="s">
        <v>219</v>
      </c>
      <c r="B207" s="1">
        <v>36.0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</row>
    <row r="208">
      <c r="A208" s="1" t="s">
        <v>220</v>
      </c>
      <c r="B208" s="1">
        <v>30.0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</row>
    <row r="209">
      <c r="A209" s="1" t="s">
        <v>221</v>
      </c>
      <c r="B209" s="1">
        <v>118.0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</row>
    <row r="210">
      <c r="A210" s="1" t="s">
        <v>222</v>
      </c>
      <c r="B210" s="1">
        <v>3.0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</row>
    <row r="211">
      <c r="A211" s="1" t="s">
        <v>223</v>
      </c>
      <c r="B211" s="1">
        <v>36.0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</row>
    <row r="212">
      <c r="A212" s="1" t="s">
        <v>224</v>
      </c>
      <c r="B212" s="1">
        <v>46.0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</row>
    <row r="213">
      <c r="A213" s="1" t="s">
        <v>225</v>
      </c>
      <c r="B213" s="1">
        <v>17.0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</row>
    <row r="214">
      <c r="A214" s="1" t="s">
        <v>226</v>
      </c>
      <c r="B214" s="1">
        <v>200.0</v>
      </c>
      <c r="C214" s="1">
        <v>0.0</v>
      </c>
      <c r="D214" s="1">
        <v>0.0</v>
      </c>
      <c r="E214" s="1">
        <v>0.0</v>
      </c>
      <c r="F214" s="1">
        <v>0.0</v>
      </c>
      <c r="G214" s="1">
        <v>1.0</v>
      </c>
    </row>
    <row r="215">
      <c r="A215" s="1" t="s">
        <v>227</v>
      </c>
      <c r="B215" s="1">
        <v>14.0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</row>
    <row r="216">
      <c r="A216" s="1" t="s">
        <v>228</v>
      </c>
      <c r="B216" s="1">
        <v>35.0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</row>
    <row r="217">
      <c r="A217" s="1" t="s">
        <v>229</v>
      </c>
      <c r="B217" s="1">
        <v>63.0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</row>
    <row r="218">
      <c r="A218" s="1" t="s">
        <v>230</v>
      </c>
      <c r="B218" s="1">
        <v>7.0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</row>
    <row r="219">
      <c r="A219" s="1" t="s">
        <v>231</v>
      </c>
      <c r="B219" s="1">
        <v>19.0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</row>
    <row r="220">
      <c r="A220" s="1" t="s">
        <v>232</v>
      </c>
      <c r="B220" s="1">
        <v>5.0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</row>
    <row r="221">
      <c r="A221" s="1" t="s">
        <v>233</v>
      </c>
      <c r="B221" s="1">
        <v>15.0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</row>
    <row r="222">
      <c r="A222" s="1" t="s">
        <v>234</v>
      </c>
      <c r="B222" s="1">
        <v>71.0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</row>
    <row r="223">
      <c r="A223" s="1" t="s">
        <v>235</v>
      </c>
      <c r="B223" s="1">
        <v>101.0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</row>
    <row r="224">
      <c r="A224" s="1" t="s">
        <v>236</v>
      </c>
      <c r="B224" s="1">
        <v>106.0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</row>
    <row r="225">
      <c r="A225" s="1" t="s">
        <v>237</v>
      </c>
      <c r="B225" s="1">
        <v>8.0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</row>
    <row r="226">
      <c r="A226" s="1" t="s">
        <v>238</v>
      </c>
      <c r="B226" s="1">
        <v>7.0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</row>
    <row r="227">
      <c r="A227" s="1" t="s">
        <v>239</v>
      </c>
      <c r="B227" s="1">
        <v>26.0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</row>
    <row r="228">
      <c r="A228" s="1" t="s">
        <v>240</v>
      </c>
      <c r="B228" s="1">
        <v>70.0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</row>
    <row r="229">
      <c r="A229" s="1" t="s">
        <v>241</v>
      </c>
      <c r="B229" s="1">
        <v>15.0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</row>
    <row r="230">
      <c r="A230" s="1" t="s">
        <v>242</v>
      </c>
      <c r="B230" s="1">
        <v>10.0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</row>
    <row r="231">
      <c r="A231" s="1" t="s">
        <v>243</v>
      </c>
      <c r="B231" s="1">
        <v>40.0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</row>
    <row r="232">
      <c r="A232" s="1" t="s">
        <v>244</v>
      </c>
      <c r="B232" s="1">
        <v>40.0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</row>
    <row r="233">
      <c r="A233" s="1" t="s">
        <v>245</v>
      </c>
      <c r="B233" s="1">
        <v>13.0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</row>
    <row r="234">
      <c r="A234" s="1" t="s">
        <v>246</v>
      </c>
      <c r="B234" s="1">
        <v>11.0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</row>
    <row r="235">
      <c r="A235" s="1" t="s">
        <v>247</v>
      </c>
      <c r="B235" s="1">
        <v>17.0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</row>
    <row r="236">
      <c r="A236" s="1" t="s">
        <v>248</v>
      </c>
      <c r="B236" s="1">
        <v>13.0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</row>
    <row r="237">
      <c r="A237" s="1" t="s">
        <v>249</v>
      </c>
      <c r="B237" s="1">
        <v>18.0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</row>
    <row r="238">
      <c r="A238" s="1" t="s">
        <v>250</v>
      </c>
      <c r="B238" s="1">
        <v>329.0</v>
      </c>
      <c r="C238" s="1">
        <v>2.0</v>
      </c>
      <c r="D238" s="1">
        <v>0.0</v>
      </c>
      <c r="E238" s="1">
        <v>0.0</v>
      </c>
      <c r="F238" s="1">
        <v>0.0</v>
      </c>
      <c r="G238" s="1">
        <v>1.0</v>
      </c>
    </row>
    <row r="239">
      <c r="A239" s="1" t="s">
        <v>251</v>
      </c>
      <c r="B239" s="1">
        <v>70.0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</row>
    <row r="240">
      <c r="A240" s="1" t="s">
        <v>252</v>
      </c>
      <c r="B240" s="1">
        <v>49.0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</row>
    <row r="241">
      <c r="A241" s="1" t="s">
        <v>253</v>
      </c>
      <c r="B241" s="1">
        <v>48.0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</row>
    <row r="242">
      <c r="A242" s="1" t="s">
        <v>254</v>
      </c>
      <c r="B242" s="1">
        <v>37.0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</row>
    <row r="243">
      <c r="A243" s="1" t="s">
        <v>255</v>
      </c>
      <c r="B243" s="1">
        <v>4.0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</row>
    <row r="244">
      <c r="A244" s="1" t="s">
        <v>256</v>
      </c>
      <c r="B244" s="1">
        <v>69.0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</row>
    <row r="245">
      <c r="A245" s="1" t="s">
        <v>257</v>
      </c>
      <c r="B245" s="1">
        <v>5.0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</row>
    <row r="246">
      <c r="A246" s="1" t="s">
        <v>258</v>
      </c>
      <c r="B246" s="1">
        <v>41.0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</row>
    <row r="247">
      <c r="A247" s="1" t="s">
        <v>259</v>
      </c>
      <c r="B247" s="1">
        <v>6.0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</row>
    <row r="248">
      <c r="A248" s="1" t="s">
        <v>260</v>
      </c>
      <c r="B248" s="1">
        <v>12.0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</row>
    <row r="249">
      <c r="A249" s="1" t="s">
        <v>261</v>
      </c>
      <c r="B249" s="1">
        <v>30.0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</row>
    <row r="250">
      <c r="A250" s="1" t="s">
        <v>262</v>
      </c>
      <c r="B250" s="1">
        <v>29.0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</row>
    <row r="251">
      <c r="A251" s="1" t="s">
        <v>263</v>
      </c>
      <c r="B251" s="1">
        <v>39.0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</row>
    <row r="252">
      <c r="A252" s="1" t="s">
        <v>264</v>
      </c>
      <c r="B252" s="1">
        <v>29.0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</row>
    <row r="253">
      <c r="A253" s="1" t="s">
        <v>265</v>
      </c>
      <c r="B253" s="1">
        <v>18.0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</row>
    <row r="254">
      <c r="A254" s="1" t="s">
        <v>266</v>
      </c>
      <c r="B254" s="1">
        <v>15.0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</row>
    <row r="255">
      <c r="A255" s="1" t="s">
        <v>267</v>
      </c>
      <c r="B255" s="1">
        <v>125.0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</row>
    <row r="256">
      <c r="A256" s="1" t="s">
        <v>268</v>
      </c>
      <c r="B256" s="1">
        <v>617.0</v>
      </c>
      <c r="C256" s="1">
        <v>5.0</v>
      </c>
      <c r="D256" s="1">
        <v>0.0</v>
      </c>
      <c r="E256" s="1">
        <v>0.0</v>
      </c>
      <c r="F256" s="1">
        <v>0.0</v>
      </c>
      <c r="G256" s="1">
        <v>1.0</v>
      </c>
    </row>
    <row r="257">
      <c r="A257" s="1" t="s">
        <v>269</v>
      </c>
      <c r="B257" s="1">
        <v>25.0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</row>
    <row r="258">
      <c r="A258" s="1" t="s">
        <v>270</v>
      </c>
      <c r="B258" s="1">
        <v>22.0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</row>
    <row r="259">
      <c r="A259" s="1" t="s">
        <v>271</v>
      </c>
      <c r="B259" s="1">
        <v>166.0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</row>
    <row r="260">
      <c r="A260" s="1" t="s">
        <v>272</v>
      </c>
      <c r="B260" s="1">
        <v>45.0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</row>
    <row r="261">
      <c r="A261" s="1" t="s">
        <v>273</v>
      </c>
      <c r="B261" s="1">
        <v>20.0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</row>
    <row r="262">
      <c r="A262" s="1" t="s">
        <v>274</v>
      </c>
      <c r="B262" s="1">
        <v>11.0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</row>
    <row r="263">
      <c r="A263" s="1" t="s">
        <v>275</v>
      </c>
      <c r="B263" s="1">
        <v>20.0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</row>
    <row r="264">
      <c r="A264" s="1" t="s">
        <v>276</v>
      </c>
      <c r="B264" s="1">
        <v>4.0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</row>
    <row r="265">
      <c r="A265" s="1" t="s">
        <v>277</v>
      </c>
      <c r="B265" s="1">
        <v>62.0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</row>
    <row r="266">
      <c r="A266" s="1" t="s">
        <v>278</v>
      </c>
      <c r="B266" s="1">
        <v>44.0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</row>
    <row r="267">
      <c r="A267" s="1" t="s">
        <v>279</v>
      </c>
      <c r="B267" s="1">
        <v>6.0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</row>
    <row r="268">
      <c r="A268" s="1" t="s">
        <v>280</v>
      </c>
      <c r="B268" s="1">
        <v>50.0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</row>
    <row r="269">
      <c r="A269" s="1" t="s">
        <v>281</v>
      </c>
      <c r="B269" s="1">
        <v>23.0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</row>
    <row r="270">
      <c r="A270" s="1" t="s">
        <v>282</v>
      </c>
      <c r="B270" s="1">
        <v>55.0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</row>
    <row r="271">
      <c r="A271" s="1" t="s">
        <v>283</v>
      </c>
      <c r="B271" s="1">
        <v>60.0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</row>
    <row r="272">
      <c r="A272" s="1" t="s">
        <v>284</v>
      </c>
      <c r="B272" s="1">
        <v>24.0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</row>
    <row r="273">
      <c r="A273" s="1" t="s">
        <v>285</v>
      </c>
      <c r="B273" s="1">
        <v>12.0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</row>
    <row r="274">
      <c r="A274" s="1" t="s">
        <v>286</v>
      </c>
      <c r="B274" s="1">
        <v>33.0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</row>
    <row r="275">
      <c r="A275" s="1" t="s">
        <v>287</v>
      </c>
      <c r="B275" s="1">
        <v>119.0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</row>
    <row r="276">
      <c r="A276" s="1" t="s">
        <v>288</v>
      </c>
      <c r="B276" s="1">
        <v>127.0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</row>
    <row r="277">
      <c r="A277" s="1" t="s">
        <v>289</v>
      </c>
      <c r="B277" s="1">
        <v>34.0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</row>
    <row r="278">
      <c r="A278" s="1" t="s">
        <v>290</v>
      </c>
      <c r="B278" s="1">
        <v>35.0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</row>
    <row r="279">
      <c r="A279" s="1" t="s">
        <v>291</v>
      </c>
      <c r="B279" s="1">
        <v>3.0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</row>
    <row r="280">
      <c r="A280" s="1" t="s">
        <v>292</v>
      </c>
      <c r="B280" s="1">
        <v>129.0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</row>
    <row r="281">
      <c r="A281" s="1" t="s">
        <v>293</v>
      </c>
      <c r="B281" s="1">
        <v>53.0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</row>
    <row r="282">
      <c r="A282" s="1" t="s">
        <v>294</v>
      </c>
      <c r="B282" s="1">
        <v>85.0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</row>
    <row r="283">
      <c r="A283" s="1" t="s">
        <v>295</v>
      </c>
      <c r="B283" s="1">
        <v>14.0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</row>
    <row r="284">
      <c r="A284" s="1" t="s">
        <v>296</v>
      </c>
      <c r="B284" s="1">
        <v>57.0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</row>
    <row r="285">
      <c r="A285" s="1" t="s">
        <v>297</v>
      </c>
      <c r="B285" s="1">
        <v>24.0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</row>
    <row r="286">
      <c r="A286" s="1" t="s">
        <v>298</v>
      </c>
      <c r="B286" s="1">
        <v>24.0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</row>
    <row r="287">
      <c r="A287" s="1" t="s">
        <v>299</v>
      </c>
      <c r="B287" s="1">
        <v>52.0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</row>
    <row r="288">
      <c r="A288" s="1" t="s">
        <v>300</v>
      </c>
      <c r="B288" s="1">
        <v>42.0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</row>
    <row r="289">
      <c r="A289" s="1" t="s">
        <v>301</v>
      </c>
      <c r="B289" s="1">
        <v>38.0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</row>
    <row r="290">
      <c r="A290" s="1" t="s">
        <v>302</v>
      </c>
      <c r="B290" s="1">
        <v>139.0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</row>
    <row r="291">
      <c r="A291" s="1" t="s">
        <v>303</v>
      </c>
      <c r="B291" s="1">
        <v>38.0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</row>
    <row r="292">
      <c r="A292" s="1" t="s">
        <v>304</v>
      </c>
      <c r="B292" s="1">
        <v>21.0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</row>
    <row r="293">
      <c r="A293" s="1" t="s">
        <v>305</v>
      </c>
      <c r="B293" s="1">
        <v>21.0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</row>
    <row r="294">
      <c r="A294" s="1" t="s">
        <v>306</v>
      </c>
      <c r="B294" s="1">
        <v>563.0</v>
      </c>
      <c r="C294" s="1">
        <v>4.0</v>
      </c>
      <c r="D294" s="1">
        <v>0.0</v>
      </c>
      <c r="E294" s="1">
        <v>2.0</v>
      </c>
      <c r="F294" s="1">
        <v>0.0</v>
      </c>
      <c r="G294" s="1">
        <v>3.0</v>
      </c>
    </row>
    <row r="295">
      <c r="A295" s="1" t="s">
        <v>307</v>
      </c>
      <c r="B295" s="1">
        <v>29.0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</row>
    <row r="296">
      <c r="A296" s="1" t="s">
        <v>308</v>
      </c>
      <c r="B296" s="1">
        <v>118.0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</row>
    <row r="297">
      <c r="A297" s="1" t="s">
        <v>309</v>
      </c>
      <c r="B297" s="1">
        <v>203.0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</row>
    <row r="298">
      <c r="A298" s="1" t="s">
        <v>310</v>
      </c>
      <c r="B298" s="1">
        <v>6.0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</row>
    <row r="299">
      <c r="A299" s="1" t="s">
        <v>311</v>
      </c>
      <c r="B299" s="1">
        <v>50.0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</row>
    <row r="300">
      <c r="A300" s="1" t="s">
        <v>312</v>
      </c>
      <c r="B300" s="1">
        <v>49.0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</row>
    <row r="301">
      <c r="A301" s="1" t="s">
        <v>313</v>
      </c>
      <c r="B301" s="1">
        <v>20.0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</row>
    <row r="302">
      <c r="A302" s="1" t="s">
        <v>314</v>
      </c>
      <c r="B302" s="1">
        <v>18.0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</row>
    <row r="303">
      <c r="A303" s="1" t="s">
        <v>315</v>
      </c>
      <c r="B303" s="1">
        <v>35.0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</row>
    <row r="304">
      <c r="A304" s="1" t="s">
        <v>316</v>
      </c>
      <c r="B304" s="1">
        <v>125.0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</row>
    <row r="305">
      <c r="A305" s="1" t="s">
        <v>317</v>
      </c>
      <c r="B305" s="1">
        <v>103.0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</row>
    <row r="306">
      <c r="A306" s="1" t="s">
        <v>318</v>
      </c>
      <c r="B306" s="1">
        <v>44.0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</row>
    <row r="307">
      <c r="A307" s="1" t="s">
        <v>319</v>
      </c>
      <c r="B307" s="1">
        <v>40.0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</row>
    <row r="308">
      <c r="A308" s="1" t="s">
        <v>320</v>
      </c>
      <c r="B308" s="1">
        <v>62.0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</row>
    <row r="309">
      <c r="A309" s="1" t="s">
        <v>321</v>
      </c>
      <c r="B309" s="1">
        <v>140.0</v>
      </c>
      <c r="C309" s="1">
        <v>0.0</v>
      </c>
      <c r="D309" s="1">
        <v>0.0</v>
      </c>
      <c r="E309" s="1">
        <v>0.0</v>
      </c>
      <c r="F309" s="1">
        <v>0.0</v>
      </c>
      <c r="G309" s="1">
        <v>1.0</v>
      </c>
    </row>
    <row r="310">
      <c r="A310" s="1" t="s">
        <v>322</v>
      </c>
      <c r="B310" s="1">
        <v>33.0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</row>
    <row r="311">
      <c r="A311" s="1" t="s">
        <v>323</v>
      </c>
      <c r="B311" s="1">
        <v>24.0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</row>
    <row r="312">
      <c r="A312" s="1" t="s">
        <v>324</v>
      </c>
      <c r="B312" s="1">
        <v>43.0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</row>
    <row r="313">
      <c r="A313" s="1" t="s">
        <v>325</v>
      </c>
      <c r="B313" s="1">
        <v>18.0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</row>
    <row r="314">
      <c r="A314" s="1" t="s">
        <v>326</v>
      </c>
      <c r="B314" s="1">
        <v>8.0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</row>
    <row r="315">
      <c r="A315" s="1" t="s">
        <v>327</v>
      </c>
      <c r="B315" s="1">
        <v>60.0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</row>
    <row r="316">
      <c r="A316" s="1" t="s">
        <v>328</v>
      </c>
      <c r="B316" s="1">
        <v>57.0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</row>
    <row r="317">
      <c r="A317" s="1" t="s">
        <v>329</v>
      </c>
      <c r="B317" s="1">
        <v>21.0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</row>
    <row r="318">
      <c r="A318" s="1" t="s">
        <v>330</v>
      </c>
      <c r="B318" s="1">
        <v>126.0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</row>
    <row r="319">
      <c r="A319" s="1" t="s">
        <v>331</v>
      </c>
      <c r="B319" s="1">
        <v>22.0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</row>
    <row r="320">
      <c r="A320" s="1" t="s">
        <v>332</v>
      </c>
      <c r="B320" s="1">
        <v>239.0</v>
      </c>
      <c r="C320" s="1">
        <v>1.0</v>
      </c>
      <c r="D320" s="1">
        <v>0.0</v>
      </c>
      <c r="E320" s="1">
        <v>0.0</v>
      </c>
      <c r="F320" s="1">
        <v>0.0</v>
      </c>
      <c r="G320" s="1">
        <v>0.0</v>
      </c>
    </row>
    <row r="321">
      <c r="A321" s="1" t="s">
        <v>333</v>
      </c>
      <c r="B321" s="1">
        <v>34.0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</row>
    <row r="322">
      <c r="A322" s="1" t="s">
        <v>334</v>
      </c>
      <c r="B322" s="1">
        <v>39.0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</row>
    <row r="323">
      <c r="A323" s="1" t="s">
        <v>335</v>
      </c>
      <c r="B323" s="1">
        <v>318.0</v>
      </c>
      <c r="C323" s="1">
        <v>2.0</v>
      </c>
      <c r="D323" s="1">
        <v>0.0</v>
      </c>
      <c r="E323" s="1">
        <v>0.0</v>
      </c>
      <c r="F323" s="1">
        <v>0.0</v>
      </c>
      <c r="G323" s="1">
        <v>1.0</v>
      </c>
    </row>
    <row r="324">
      <c r="A324" s="1" t="s">
        <v>336</v>
      </c>
      <c r="B324" s="1">
        <v>8.0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</row>
    <row r="325">
      <c r="A325" s="1" t="s">
        <v>337</v>
      </c>
      <c r="B325" s="1">
        <v>180.0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</row>
    <row r="326">
      <c r="A326" s="1" t="s">
        <v>338</v>
      </c>
      <c r="B326" s="1">
        <v>34.0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</row>
    <row r="327">
      <c r="A327" s="1" t="s">
        <v>339</v>
      </c>
      <c r="B327" s="1">
        <v>40.0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</row>
    <row r="328">
      <c r="A328" s="1" t="s">
        <v>340</v>
      </c>
      <c r="B328" s="1">
        <v>23.0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</row>
    <row r="329">
      <c r="A329" s="1" t="s">
        <v>341</v>
      </c>
      <c r="B329" s="1">
        <v>76.0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</row>
    <row r="330">
      <c r="A330" s="1" t="s">
        <v>342</v>
      </c>
      <c r="B330" s="1">
        <v>34.0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</row>
    <row r="331">
      <c r="A331" s="1" t="s">
        <v>343</v>
      </c>
      <c r="B331" s="1">
        <v>36.0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</row>
    <row r="332">
      <c r="A332" s="1" t="s">
        <v>344</v>
      </c>
      <c r="B332" s="1">
        <v>16.0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</row>
    <row r="333">
      <c r="A333" s="1" t="s">
        <v>345</v>
      </c>
      <c r="B333" s="1">
        <v>52.0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</row>
    <row r="334">
      <c r="A334" s="1" t="s">
        <v>346</v>
      </c>
      <c r="B334" s="1">
        <v>40.0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</row>
    <row r="335">
      <c r="A335" s="1" t="s">
        <v>347</v>
      </c>
      <c r="B335" s="1">
        <v>100.0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</row>
    <row r="336">
      <c r="A336" s="1" t="s">
        <v>348</v>
      </c>
      <c r="B336" s="1">
        <v>38.0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</row>
    <row r="337">
      <c r="A337" s="1" t="s">
        <v>349</v>
      </c>
      <c r="B337" s="1">
        <v>270.0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</row>
    <row r="338">
      <c r="A338" s="1" t="s">
        <v>350</v>
      </c>
      <c r="B338" s="1">
        <v>30.0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</row>
    <row r="339">
      <c r="A339" s="1" t="s">
        <v>351</v>
      </c>
      <c r="B339" s="1">
        <v>29.0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</row>
    <row r="340">
      <c r="A340" s="1" t="s">
        <v>352</v>
      </c>
      <c r="B340" s="1">
        <v>30.0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</row>
    <row r="341">
      <c r="A341" s="1" t="s">
        <v>353</v>
      </c>
      <c r="B341" s="1">
        <v>73.0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</row>
    <row r="342">
      <c r="A342" s="1" t="s">
        <v>354</v>
      </c>
      <c r="B342" s="1">
        <v>15.0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</row>
    <row r="343">
      <c r="A343" s="1" t="s">
        <v>355</v>
      </c>
      <c r="B343" s="1">
        <v>42.0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</row>
    <row r="344">
      <c r="A344" s="1" t="s">
        <v>356</v>
      </c>
      <c r="B344" s="1">
        <v>45.0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</row>
    <row r="345">
      <c r="A345" s="1" t="s">
        <v>357</v>
      </c>
      <c r="B345" s="1">
        <v>17.0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</row>
    <row r="346">
      <c r="A346" s="1" t="s">
        <v>358</v>
      </c>
      <c r="B346" s="1">
        <v>12.0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</row>
    <row r="347">
      <c r="A347" s="1" t="s">
        <v>359</v>
      </c>
      <c r="B347" s="1">
        <v>99.0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</row>
    <row r="348">
      <c r="A348" s="1" t="s">
        <v>360</v>
      </c>
      <c r="B348" s="1">
        <v>35.0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</row>
    <row r="349">
      <c r="A349" s="1" t="s">
        <v>361</v>
      </c>
      <c r="B349" s="1">
        <v>23.0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</row>
    <row r="350">
      <c r="A350" s="1" t="s">
        <v>362</v>
      </c>
      <c r="B350" s="1">
        <v>36.0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</row>
    <row r="351">
      <c r="A351" s="1" t="s">
        <v>363</v>
      </c>
      <c r="B351" s="1">
        <v>66.0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</row>
    <row r="352">
      <c r="A352" s="1" t="s">
        <v>364</v>
      </c>
      <c r="B352" s="1">
        <v>40.0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</row>
    <row r="353">
      <c r="A353" s="1" t="s">
        <v>365</v>
      </c>
      <c r="B353" s="1">
        <v>22.0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</row>
    <row r="354">
      <c r="A354" s="1" t="s">
        <v>366</v>
      </c>
      <c r="B354" s="1">
        <v>162.0</v>
      </c>
      <c r="C354" s="1">
        <v>1.0</v>
      </c>
      <c r="D354" s="1">
        <v>0.0</v>
      </c>
      <c r="E354" s="1">
        <v>0.0</v>
      </c>
      <c r="F354" s="1">
        <v>0.0</v>
      </c>
      <c r="G354" s="1">
        <v>1.0</v>
      </c>
    </row>
    <row r="355">
      <c r="A355" s="1" t="s">
        <v>367</v>
      </c>
      <c r="B355" s="1">
        <v>35.0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</row>
    <row r="356">
      <c r="A356" s="1" t="s">
        <v>368</v>
      </c>
      <c r="B356" s="1">
        <v>17.0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</row>
    <row r="357">
      <c r="A357" s="1" t="s">
        <v>369</v>
      </c>
      <c r="B357" s="1">
        <v>28.0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</row>
    <row r="358">
      <c r="A358" s="1" t="s">
        <v>370</v>
      </c>
      <c r="B358" s="1">
        <v>3.0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</row>
    <row r="359">
      <c r="A359" s="1" t="s">
        <v>371</v>
      </c>
      <c r="B359" s="1">
        <v>9.0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</row>
    <row r="360">
      <c r="A360" s="1" t="s">
        <v>372</v>
      </c>
      <c r="B360" s="1">
        <v>84.0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</row>
    <row r="361">
      <c r="A361" s="1" t="s">
        <v>373</v>
      </c>
      <c r="B361" s="1">
        <v>497.0</v>
      </c>
      <c r="C361" s="1">
        <v>3.0</v>
      </c>
      <c r="D361" s="1">
        <v>0.0</v>
      </c>
      <c r="E361" s="1">
        <v>0.0</v>
      </c>
      <c r="F361" s="1">
        <v>0.0</v>
      </c>
      <c r="G361" s="1">
        <v>0.0</v>
      </c>
    </row>
    <row r="362">
      <c r="A362" s="1" t="s">
        <v>374</v>
      </c>
      <c r="B362" s="1">
        <v>22.0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</row>
    <row r="363">
      <c r="A363" s="1" t="s">
        <v>375</v>
      </c>
      <c r="B363" s="1">
        <v>17.0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</row>
    <row r="364">
      <c r="A364" s="1" t="s">
        <v>376</v>
      </c>
      <c r="B364" s="1">
        <v>4.0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</row>
    <row r="365">
      <c r="A365" s="1" t="s">
        <v>377</v>
      </c>
      <c r="B365" s="1">
        <v>32.0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</row>
    <row r="366">
      <c r="A366" s="1" t="s">
        <v>378</v>
      </c>
      <c r="B366" s="1">
        <v>27.0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</row>
    <row r="367">
      <c r="A367" s="1" t="s">
        <v>379</v>
      </c>
      <c r="B367" s="1">
        <v>76.0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</row>
    <row r="368">
      <c r="A368" s="1" t="s">
        <v>380</v>
      </c>
      <c r="B368" s="1">
        <v>16.0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</row>
    <row r="369">
      <c r="A369" s="1" t="s">
        <v>381</v>
      </c>
      <c r="B369" s="1">
        <v>14.0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</row>
    <row r="370">
      <c r="A370" s="1" t="s">
        <v>382</v>
      </c>
      <c r="B370" s="1">
        <v>71.0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</row>
    <row r="371">
      <c r="A371" s="1" t="s">
        <v>383</v>
      </c>
      <c r="B371" s="1">
        <v>26.0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</row>
    <row r="372">
      <c r="A372" s="1" t="s">
        <v>384</v>
      </c>
      <c r="B372" s="1">
        <v>24.0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</row>
    <row r="373">
      <c r="A373" s="1" t="s">
        <v>385</v>
      </c>
      <c r="B373" s="1">
        <v>33.0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</row>
    <row r="374">
      <c r="A374" s="1" t="s">
        <v>386</v>
      </c>
      <c r="B374" s="1">
        <v>211.0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</row>
    <row r="375">
      <c r="A375" s="1" t="s">
        <v>387</v>
      </c>
      <c r="B375" s="1">
        <v>10.0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</row>
    <row r="376">
      <c r="A376" s="1" t="s">
        <v>388</v>
      </c>
      <c r="B376" s="1">
        <v>117.0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</row>
    <row r="377">
      <c r="A377" s="1" t="s">
        <v>389</v>
      </c>
      <c r="B377" s="1">
        <v>16.0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</row>
    <row r="378">
      <c r="A378" s="1" t="s">
        <v>390</v>
      </c>
      <c r="B378" s="1">
        <v>5.0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</row>
    <row r="379">
      <c r="A379" s="1" t="s">
        <v>391</v>
      </c>
      <c r="B379" s="1">
        <v>27.0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</row>
    <row r="380">
      <c r="A380" s="1" t="s">
        <v>392</v>
      </c>
      <c r="B380" s="1">
        <v>35.0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</row>
    <row r="381">
      <c r="A381" s="1" t="s">
        <v>393</v>
      </c>
      <c r="B381" s="1">
        <v>59.0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</row>
    <row r="382">
      <c r="A382" s="1" t="s">
        <v>394</v>
      </c>
      <c r="B382" s="1">
        <v>12.0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</row>
    <row r="383">
      <c r="A383" s="1" t="s">
        <v>395</v>
      </c>
      <c r="B383" s="1">
        <v>24.0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</row>
    <row r="384">
      <c r="A384" s="1" t="s">
        <v>396</v>
      </c>
      <c r="B384" s="1">
        <v>21.0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</row>
    <row r="385">
      <c r="A385" s="1" t="s">
        <v>397</v>
      </c>
      <c r="B385" s="1">
        <v>99.0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</row>
    <row r="386">
      <c r="A386" s="1" t="s">
        <v>398</v>
      </c>
      <c r="B386" s="1">
        <v>63.0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</row>
    <row r="387">
      <c r="A387" s="1" t="s">
        <v>399</v>
      </c>
      <c r="B387" s="1">
        <v>56.0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</row>
    <row r="388">
      <c r="A388" s="1" t="s">
        <v>400</v>
      </c>
      <c r="B388" s="1">
        <v>95.0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</row>
    <row r="389">
      <c r="A389" s="1" t="s">
        <v>401</v>
      </c>
      <c r="B389" s="1">
        <v>38.0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</row>
    <row r="390">
      <c r="A390" s="1" t="s">
        <v>402</v>
      </c>
      <c r="B390" s="1">
        <v>5.0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</row>
    <row r="391">
      <c r="A391" s="1" t="s">
        <v>403</v>
      </c>
      <c r="B391" s="1">
        <v>16.0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</row>
    <row r="392">
      <c r="A392" s="1" t="s">
        <v>404</v>
      </c>
      <c r="B392" s="1">
        <v>26.0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</row>
    <row r="393">
      <c r="A393" s="1" t="s">
        <v>405</v>
      </c>
      <c r="B393" s="1">
        <v>47.0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</row>
    <row r="394">
      <c r="A394" s="1" t="s">
        <v>406</v>
      </c>
      <c r="B394" s="1">
        <v>149.0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</row>
    <row r="395">
      <c r="A395" s="1" t="s">
        <v>407</v>
      </c>
      <c r="B395" s="1">
        <v>31.0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</row>
    <row r="396">
      <c r="A396" s="1" t="s">
        <v>408</v>
      </c>
      <c r="B396" s="1">
        <v>73.0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</row>
    <row r="397">
      <c r="A397" s="1" t="s">
        <v>409</v>
      </c>
      <c r="B397" s="1">
        <v>14.0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</row>
    <row r="398">
      <c r="A398" s="1" t="s">
        <v>410</v>
      </c>
      <c r="B398" s="1">
        <v>60.0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</row>
    <row r="399">
      <c r="A399" s="1" t="s">
        <v>411</v>
      </c>
      <c r="B399" s="1">
        <v>23.0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</row>
    <row r="400">
      <c r="A400" s="1" t="s">
        <v>412</v>
      </c>
      <c r="B400" s="1">
        <v>43.0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</row>
    <row r="401">
      <c r="A401" s="1" t="s">
        <v>413</v>
      </c>
      <c r="B401" s="1">
        <v>35.0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</row>
    <row r="402">
      <c r="A402" s="1" t="s">
        <v>414</v>
      </c>
      <c r="B402" s="1">
        <v>468.0</v>
      </c>
      <c r="C402" s="1">
        <v>3.0</v>
      </c>
      <c r="D402" s="1">
        <v>0.0</v>
      </c>
      <c r="E402" s="1">
        <v>1.0</v>
      </c>
      <c r="F402" s="1">
        <v>0.0</v>
      </c>
      <c r="G402" s="1">
        <v>2.0</v>
      </c>
    </row>
    <row r="403">
      <c r="A403" s="1" t="s">
        <v>415</v>
      </c>
      <c r="B403" s="1">
        <v>7.0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</row>
    <row r="404">
      <c r="A404" s="1" t="s">
        <v>416</v>
      </c>
      <c r="B404" s="1">
        <v>98.0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</row>
    <row r="405">
      <c r="A405" s="1" t="s">
        <v>417</v>
      </c>
      <c r="B405" s="1">
        <v>24.0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</row>
    <row r="406">
      <c r="A406" s="1" t="s">
        <v>418</v>
      </c>
      <c r="B406" s="1">
        <v>7.0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</row>
    <row r="407">
      <c r="A407" s="1" t="s">
        <v>419</v>
      </c>
      <c r="B407" s="1">
        <v>12.0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</row>
    <row r="408">
      <c r="A408" s="1" t="s">
        <v>420</v>
      </c>
      <c r="B408" s="1">
        <v>32.0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</row>
    <row r="409">
      <c r="A409" s="1" t="s">
        <v>421</v>
      </c>
      <c r="B409" s="1">
        <v>41.0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</row>
    <row r="410">
      <c r="A410" s="1" t="s">
        <v>422</v>
      </c>
      <c r="B410" s="1">
        <v>81.0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</row>
    <row r="411">
      <c r="A411" s="1" t="s">
        <v>423</v>
      </c>
      <c r="B411" s="1">
        <v>33.0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</row>
    <row r="412">
      <c r="A412" s="1" t="s">
        <v>424</v>
      </c>
      <c r="B412" s="1">
        <v>63.0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</row>
    <row r="413">
      <c r="A413" s="1" t="s">
        <v>425</v>
      </c>
      <c r="B413" s="1">
        <v>8.0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</row>
    <row r="414">
      <c r="A414" s="1" t="s">
        <v>426</v>
      </c>
      <c r="B414" s="1">
        <v>4.0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</row>
    <row r="415">
      <c r="A415" s="1" t="s">
        <v>427</v>
      </c>
      <c r="B415" s="1">
        <v>8.0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</row>
    <row r="416">
      <c r="A416" s="1" t="s">
        <v>428</v>
      </c>
      <c r="B416" s="1">
        <v>351.0</v>
      </c>
      <c r="C416" s="1">
        <v>2.0</v>
      </c>
      <c r="D416" s="1">
        <v>0.0</v>
      </c>
      <c r="E416" s="1">
        <v>0.0</v>
      </c>
      <c r="F416" s="1">
        <v>0.0</v>
      </c>
      <c r="G416" s="1">
        <v>1.0</v>
      </c>
    </row>
    <row r="417">
      <c r="A417" s="1" t="s">
        <v>429</v>
      </c>
      <c r="B417" s="1">
        <v>63.0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</row>
    <row r="418">
      <c r="A418" s="1" t="s">
        <v>430</v>
      </c>
      <c r="B418" s="1">
        <v>14.0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</row>
    <row r="419">
      <c r="A419" s="1" t="s">
        <v>431</v>
      </c>
      <c r="B419" s="1">
        <v>30.0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</row>
    <row r="420">
      <c r="A420" s="1" t="s">
        <v>432</v>
      </c>
      <c r="B420" s="1">
        <v>62.0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</row>
    <row r="421">
      <c r="A421" s="1" t="s">
        <v>433</v>
      </c>
      <c r="B421" s="1">
        <v>12.0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</row>
    <row r="422">
      <c r="A422" s="1" t="s">
        <v>434</v>
      </c>
      <c r="B422" s="1">
        <v>89.0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</row>
    <row r="423">
      <c r="A423" s="1" t="s">
        <v>435</v>
      </c>
      <c r="B423" s="1">
        <v>50.0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</row>
    <row r="424">
      <c r="A424" s="1" t="s">
        <v>436</v>
      </c>
      <c r="B424" s="1">
        <v>24.0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</row>
    <row r="425">
      <c r="A425" s="1" t="s">
        <v>437</v>
      </c>
      <c r="B425" s="1">
        <v>5.0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</row>
    <row r="426">
      <c r="A426" s="1" t="s">
        <v>438</v>
      </c>
      <c r="B426" s="1">
        <v>5.0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</row>
    <row r="427">
      <c r="A427" s="1" t="s">
        <v>439</v>
      </c>
      <c r="B427" s="1">
        <v>130.0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</row>
    <row r="428">
      <c r="A428" s="1" t="s">
        <v>440</v>
      </c>
      <c r="B428" s="1">
        <v>26.0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</row>
    <row r="429">
      <c r="A429" s="1" t="s">
        <v>441</v>
      </c>
      <c r="B429" s="1">
        <v>19.0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</row>
    <row r="430">
      <c r="A430" s="1" t="s">
        <v>442</v>
      </c>
      <c r="B430" s="1">
        <v>33.0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</row>
    <row r="431">
      <c r="A431" s="1" t="s">
        <v>443</v>
      </c>
      <c r="B431" s="1">
        <v>17.0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</row>
    <row r="432">
      <c r="A432" s="1" t="s">
        <v>444</v>
      </c>
      <c r="B432" s="1">
        <v>31.0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</row>
    <row r="433">
      <c r="A433" s="1" t="s">
        <v>445</v>
      </c>
      <c r="B433" s="1">
        <v>451.0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</row>
    <row r="434">
      <c r="A434" s="1" t="s">
        <v>446</v>
      </c>
      <c r="B434" s="1">
        <v>24.0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</row>
    <row r="435">
      <c r="A435" s="1" t="s">
        <v>447</v>
      </c>
      <c r="B435" s="1">
        <v>141.0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</row>
    <row r="436">
      <c r="A436" s="1" t="s">
        <v>448</v>
      </c>
      <c r="B436" s="1">
        <v>668.0</v>
      </c>
      <c r="C436" s="1">
        <v>3.0</v>
      </c>
      <c r="D436" s="1">
        <v>0.0</v>
      </c>
      <c r="E436" s="1">
        <v>1.0</v>
      </c>
      <c r="F436" s="1">
        <v>0.0</v>
      </c>
      <c r="G436" s="1">
        <v>2.0</v>
      </c>
    </row>
    <row r="437">
      <c r="A437" s="1" t="s">
        <v>449</v>
      </c>
      <c r="B437" s="1">
        <v>175.0</v>
      </c>
      <c r="C437" s="1">
        <v>1.0</v>
      </c>
      <c r="D437" s="1">
        <v>0.0</v>
      </c>
      <c r="E437" s="1">
        <v>0.0</v>
      </c>
      <c r="F437" s="1">
        <v>0.0</v>
      </c>
      <c r="G437" s="1">
        <v>1.0</v>
      </c>
    </row>
    <row r="438">
      <c r="A438" s="1" t="s">
        <v>450</v>
      </c>
      <c r="B438" s="1">
        <v>48.0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</row>
    <row r="439">
      <c r="A439" s="1" t="s">
        <v>451</v>
      </c>
      <c r="B439" s="1">
        <v>41.0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</row>
    <row r="440">
      <c r="A440" s="1" t="s">
        <v>452</v>
      </c>
      <c r="B440" s="1">
        <v>10.0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</row>
    <row r="441">
      <c r="A441" s="1" t="s">
        <v>453</v>
      </c>
      <c r="B441" s="1">
        <v>201.0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</row>
    <row r="442">
      <c r="A442" s="1" t="s">
        <v>454</v>
      </c>
      <c r="B442" s="1">
        <v>52.0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</row>
    <row r="443">
      <c r="A443" s="1" t="s">
        <v>455</v>
      </c>
      <c r="B443" s="1">
        <v>40.0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</row>
    <row r="444">
      <c r="A444" s="1" t="s">
        <v>456</v>
      </c>
      <c r="B444" s="1">
        <v>54.0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</row>
    <row r="445">
      <c r="A445" s="1" t="s">
        <v>457</v>
      </c>
      <c r="B445" s="1">
        <v>27.0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</row>
    <row r="446">
      <c r="A446" s="1" t="s">
        <v>458</v>
      </c>
      <c r="B446" s="1">
        <v>14.0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</row>
    <row r="447">
      <c r="A447" s="1" t="s">
        <v>459</v>
      </c>
      <c r="B447" s="1">
        <v>59.0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</row>
    <row r="448">
      <c r="A448" s="1" t="s">
        <v>460</v>
      </c>
      <c r="B448" s="1">
        <v>34.0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</row>
    <row r="449">
      <c r="A449" s="1" t="s">
        <v>461</v>
      </c>
      <c r="B449" s="1">
        <v>56.0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</row>
    <row r="450">
      <c r="A450" s="1" t="s">
        <v>462</v>
      </c>
      <c r="B450" s="1">
        <v>40.0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</row>
    <row r="451">
      <c r="A451" s="1" t="s">
        <v>463</v>
      </c>
      <c r="B451" s="1">
        <v>59.0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</row>
    <row r="452">
      <c r="A452" s="1" t="s">
        <v>464</v>
      </c>
      <c r="B452" s="1">
        <v>72.0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</row>
    <row r="453">
      <c r="A453" s="1" t="s">
        <v>465</v>
      </c>
      <c r="B453" s="1">
        <v>34.0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</row>
    <row r="454">
      <c r="A454" s="1" t="s">
        <v>466</v>
      </c>
      <c r="B454" s="1">
        <v>110.0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</row>
    <row r="455">
      <c r="A455" s="1" t="s">
        <v>467</v>
      </c>
      <c r="B455" s="1">
        <v>26.0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</row>
    <row r="456">
      <c r="A456" s="1" t="s">
        <v>468</v>
      </c>
      <c r="B456" s="1">
        <v>172.0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</row>
    <row r="457">
      <c r="A457" s="1" t="s">
        <v>469</v>
      </c>
      <c r="B457" s="1">
        <v>47.0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</row>
    <row r="458">
      <c r="A458" s="1" t="s">
        <v>470</v>
      </c>
      <c r="B458" s="1">
        <v>13.0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</row>
    <row r="459">
      <c r="A459" s="1" t="s">
        <v>471</v>
      </c>
      <c r="B459" s="1">
        <v>9.0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</row>
    <row r="460">
      <c r="A460" s="1" t="s">
        <v>472</v>
      </c>
      <c r="B460" s="1">
        <v>34.0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</row>
    <row r="461">
      <c r="A461" s="1" t="s">
        <v>473</v>
      </c>
      <c r="B461" s="1">
        <v>17.0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</row>
    <row r="462">
      <c r="A462" s="1" t="s">
        <v>474</v>
      </c>
      <c r="B462" s="1">
        <v>13.0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</row>
    <row r="463">
      <c r="A463" s="1" t="s">
        <v>475</v>
      </c>
      <c r="B463" s="1">
        <v>633.0</v>
      </c>
      <c r="C463" s="1">
        <v>2.0</v>
      </c>
      <c r="D463" s="1">
        <v>0.0</v>
      </c>
      <c r="E463" s="1">
        <v>0.0</v>
      </c>
      <c r="F463" s="1">
        <v>0.0</v>
      </c>
      <c r="G463" s="1">
        <v>0.0</v>
      </c>
    </row>
    <row r="464">
      <c r="A464" s="1" t="s">
        <v>476</v>
      </c>
      <c r="B464" s="1">
        <v>11.0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</row>
    <row r="465">
      <c r="A465" s="1" t="s">
        <v>477</v>
      </c>
      <c r="B465" s="1">
        <v>14.0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</row>
    <row r="466">
      <c r="A466" s="1" t="s">
        <v>478</v>
      </c>
      <c r="B466" s="1">
        <v>270.0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</row>
    <row r="467">
      <c r="A467" s="1" t="s">
        <v>479</v>
      </c>
      <c r="B467" s="1">
        <v>10.0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</row>
    <row r="468">
      <c r="A468" s="1" t="s">
        <v>480</v>
      </c>
      <c r="B468" s="1">
        <v>36.0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</row>
    <row r="469">
      <c r="A469" s="1" t="s">
        <v>481</v>
      </c>
      <c r="B469" s="1">
        <v>24.0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</row>
    <row r="470">
      <c r="A470" s="1" t="s">
        <v>482</v>
      </c>
      <c r="B470" s="1">
        <v>36.0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</row>
    <row r="471">
      <c r="A471" s="1" t="s">
        <v>483</v>
      </c>
      <c r="B471" s="1">
        <v>39.0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</row>
    <row r="472">
      <c r="A472" s="1" t="s">
        <v>484</v>
      </c>
      <c r="B472" s="1">
        <v>40.0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</row>
    <row r="473">
      <c r="A473" s="1" t="s">
        <v>485</v>
      </c>
      <c r="B473" s="1">
        <v>21.0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</row>
    <row r="474">
      <c r="A474" s="1" t="s">
        <v>486</v>
      </c>
      <c r="B474" s="1">
        <v>23.0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</row>
    <row r="475">
      <c r="A475" s="1" t="s">
        <v>487</v>
      </c>
      <c r="B475" s="1">
        <v>65.0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</row>
    <row r="476">
      <c r="A476" s="1" t="s">
        <v>488</v>
      </c>
      <c r="B476" s="1">
        <v>6.0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</row>
    <row r="477">
      <c r="A477" s="1" t="s">
        <v>489</v>
      </c>
      <c r="B477" s="1">
        <v>17.0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</row>
    <row r="478">
      <c r="A478" s="1" t="s">
        <v>490</v>
      </c>
      <c r="B478" s="1">
        <v>29.0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</row>
    <row r="479">
      <c r="A479" s="1" t="s">
        <v>491</v>
      </c>
      <c r="B479" s="1">
        <v>46.0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</row>
    <row r="480">
      <c r="A480" s="1" t="s">
        <v>492</v>
      </c>
      <c r="B480" s="1">
        <v>53.0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</row>
    <row r="481">
      <c r="A481" s="1" t="s">
        <v>493</v>
      </c>
      <c r="B481" s="1">
        <v>61.0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</row>
    <row r="482">
      <c r="A482" s="1" t="s">
        <v>494</v>
      </c>
      <c r="B482" s="1">
        <v>31.0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</row>
    <row r="483">
      <c r="A483" s="1" t="s">
        <v>495</v>
      </c>
      <c r="B483" s="1">
        <v>28.0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</row>
    <row r="484">
      <c r="A484" s="1" t="s">
        <v>496</v>
      </c>
      <c r="B484" s="1">
        <v>31.0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</row>
    <row r="485">
      <c r="A485" s="1" t="s">
        <v>497</v>
      </c>
      <c r="B485" s="1">
        <v>226.0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</row>
    <row r="486">
      <c r="A486" s="1" t="s">
        <v>498</v>
      </c>
      <c r="B486" s="1">
        <v>18.0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</row>
    <row r="487">
      <c r="A487" s="1" t="s">
        <v>499</v>
      </c>
      <c r="B487" s="1">
        <v>47.0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</row>
    <row r="488">
      <c r="A488" s="1" t="s">
        <v>500</v>
      </c>
      <c r="B488" s="1">
        <v>65.0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</row>
    <row r="489">
      <c r="A489" s="1" t="s">
        <v>501</v>
      </c>
      <c r="B489" s="1">
        <v>101.0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</row>
    <row r="490">
      <c r="A490" s="1" t="s">
        <v>502</v>
      </c>
      <c r="B490" s="1">
        <v>13.0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</row>
    <row r="491">
      <c r="A491" s="1" t="s">
        <v>503</v>
      </c>
      <c r="B491" s="1">
        <v>28.0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</row>
    <row r="492">
      <c r="A492" s="1" t="s">
        <v>504</v>
      </c>
      <c r="B492" s="1">
        <v>10.0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</row>
    <row r="493">
      <c r="A493" s="1" t="s">
        <v>505</v>
      </c>
      <c r="B493" s="1">
        <v>33.0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</row>
    <row r="494">
      <c r="A494" s="1" t="s">
        <v>506</v>
      </c>
      <c r="B494" s="1">
        <v>130.0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</row>
    <row r="495">
      <c r="A495" s="1" t="s">
        <v>507</v>
      </c>
      <c r="B495" s="1">
        <v>125.0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</row>
    <row r="496">
      <c r="A496" s="1" t="s">
        <v>508</v>
      </c>
      <c r="B496" s="1">
        <v>68.0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</row>
    <row r="497">
      <c r="A497" s="1" t="s">
        <v>509</v>
      </c>
      <c r="B497" s="1">
        <v>79.0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</row>
    <row r="498">
      <c r="A498" s="1" t="s">
        <v>510</v>
      </c>
      <c r="B498" s="1">
        <v>5.0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</row>
    <row r="499">
      <c r="A499" s="1" t="s">
        <v>511</v>
      </c>
      <c r="B499" s="1">
        <v>30.0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</row>
    <row r="500">
      <c r="A500" s="1" t="s">
        <v>512</v>
      </c>
      <c r="B500" s="1">
        <v>33.0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</row>
    <row r="501">
      <c r="A501" s="1" t="s">
        <v>513</v>
      </c>
      <c r="B501" s="1">
        <v>19.0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</row>
    <row r="502">
      <c r="A502" s="1" t="s">
        <v>514</v>
      </c>
      <c r="B502" s="1">
        <v>53.0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</row>
    <row r="503">
      <c r="A503" s="1" t="s">
        <v>515</v>
      </c>
      <c r="B503" s="1">
        <v>16.0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</row>
    <row r="504">
      <c r="A504" s="1" t="s">
        <v>516</v>
      </c>
      <c r="B504" s="1">
        <v>56.0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</row>
    <row r="505">
      <c r="A505" s="1" t="s">
        <v>517</v>
      </c>
      <c r="B505" s="1">
        <v>35.0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</row>
    <row r="506">
      <c r="A506" s="1" t="s">
        <v>518</v>
      </c>
      <c r="B506" s="1">
        <v>30.0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</row>
    <row r="507">
      <c r="A507" s="1" t="s">
        <v>519</v>
      </c>
      <c r="B507" s="1">
        <v>14.0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</row>
    <row r="508">
      <c r="A508" s="1" t="s">
        <v>520</v>
      </c>
      <c r="B508" s="1">
        <v>44.0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</row>
    <row r="509">
      <c r="A509" s="1" t="s">
        <v>521</v>
      </c>
      <c r="B509" s="1">
        <v>23.0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</row>
    <row r="510">
      <c r="A510" s="1" t="s">
        <v>522</v>
      </c>
      <c r="B510" s="1">
        <v>13.0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</row>
    <row r="511">
      <c r="A511" s="1" t="s">
        <v>523</v>
      </c>
      <c r="B511" s="1">
        <v>5.0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</row>
    <row r="512">
      <c r="A512" s="1" t="s">
        <v>524</v>
      </c>
      <c r="B512" s="1">
        <v>99.0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</row>
    <row r="513">
      <c r="A513" s="1" t="s">
        <v>525</v>
      </c>
      <c r="B513" s="1">
        <v>22.0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</row>
    <row r="514">
      <c r="A514" s="1" t="s">
        <v>526</v>
      </c>
      <c r="B514" s="1">
        <v>30.0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</row>
    <row r="515">
      <c r="A515" s="1" t="s">
        <v>527</v>
      </c>
      <c r="B515" s="1">
        <v>15.0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</row>
    <row r="516">
      <c r="A516" s="1" t="s">
        <v>528</v>
      </c>
      <c r="B516" s="1">
        <v>40.0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</row>
    <row r="517">
      <c r="A517" s="1" t="s">
        <v>529</v>
      </c>
      <c r="B517" s="1">
        <v>11716.0</v>
      </c>
      <c r="C517" s="1">
        <v>1935.0</v>
      </c>
      <c r="D517" s="1">
        <v>142.0</v>
      </c>
      <c r="E517" s="1">
        <v>263.0</v>
      </c>
      <c r="F517" s="1">
        <v>7.0</v>
      </c>
      <c r="G517" s="1">
        <v>142.0</v>
      </c>
    </row>
    <row r="518">
      <c r="A518" s="1" t="s">
        <v>530</v>
      </c>
      <c r="B518" s="1">
        <v>4.0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</row>
    <row r="519">
      <c r="A519" s="1" t="s">
        <v>531</v>
      </c>
      <c r="B519" s="1">
        <v>209.0</v>
      </c>
      <c r="C519" s="1">
        <v>0.0</v>
      </c>
      <c r="D519" s="1">
        <v>0.0</v>
      </c>
      <c r="E519" s="1">
        <v>0.0</v>
      </c>
      <c r="F519" s="1">
        <v>0.0</v>
      </c>
      <c r="G519" s="1">
        <v>1.0</v>
      </c>
    </row>
    <row r="520">
      <c r="A520" s="1" t="s">
        <v>532</v>
      </c>
      <c r="B520" s="1">
        <v>15.0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</row>
    <row r="521">
      <c r="A521" s="1" t="s">
        <v>533</v>
      </c>
      <c r="B521" s="1">
        <v>22.0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</row>
    <row r="522">
      <c r="A522" s="1" t="s">
        <v>534</v>
      </c>
      <c r="B522" s="1">
        <v>13.0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</row>
    <row r="523">
      <c r="A523" s="1" t="s">
        <v>535</v>
      </c>
      <c r="B523" s="1">
        <v>50.0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</row>
    <row r="524">
      <c r="A524" s="1" t="s">
        <v>536</v>
      </c>
      <c r="B524" s="1">
        <v>19.0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</row>
    <row r="525">
      <c r="A525" s="1" t="s">
        <v>537</v>
      </c>
      <c r="B525" s="1">
        <v>92.0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</row>
    <row r="526">
      <c r="A526" s="1" t="s">
        <v>538</v>
      </c>
      <c r="B526" s="1">
        <v>118.0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</row>
    <row r="527">
      <c r="A527" s="1" t="s">
        <v>539</v>
      </c>
      <c r="B527" s="1">
        <v>17.0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</row>
    <row r="528">
      <c r="A528" s="1" t="s">
        <v>540</v>
      </c>
      <c r="B528" s="1">
        <v>19.0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</row>
    <row r="529">
      <c r="A529" s="1" t="s">
        <v>541</v>
      </c>
      <c r="B529" s="1">
        <v>192.0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</row>
    <row r="530">
      <c r="A530" s="1" t="s">
        <v>542</v>
      </c>
      <c r="B530" s="1">
        <v>9.0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</row>
    <row r="531">
      <c r="A531" s="1" t="s">
        <v>543</v>
      </c>
      <c r="B531" s="1">
        <v>14.0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</row>
    <row r="532">
      <c r="A532" s="1" t="s">
        <v>544</v>
      </c>
      <c r="B532" s="1">
        <v>25.0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</row>
    <row r="533">
      <c r="A533" s="1" t="s">
        <v>545</v>
      </c>
      <c r="B533" s="1">
        <v>26.0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</row>
    <row r="534">
      <c r="A534" s="1" t="s">
        <v>546</v>
      </c>
      <c r="B534" s="1">
        <v>30.0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</row>
    <row r="535">
      <c r="A535" s="1" t="s">
        <v>547</v>
      </c>
      <c r="B535" s="1">
        <v>55.0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</row>
    <row r="536">
      <c r="A536" s="1" t="s">
        <v>548</v>
      </c>
      <c r="B536" s="1">
        <v>54.0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</row>
    <row r="537">
      <c r="A537" s="1" t="s">
        <v>549</v>
      </c>
      <c r="B537" s="1">
        <v>34.0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</row>
    <row r="538">
      <c r="A538" s="1" t="s">
        <v>550</v>
      </c>
      <c r="B538" s="1">
        <v>33.0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</row>
    <row r="539">
      <c r="A539" s="1" t="s">
        <v>551</v>
      </c>
      <c r="B539" s="1">
        <v>5.0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</row>
    <row r="540">
      <c r="A540" s="1" t="s">
        <v>552</v>
      </c>
      <c r="B540" s="1">
        <v>97.0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</row>
    <row r="541">
      <c r="A541" s="1" t="s">
        <v>553</v>
      </c>
      <c r="B541" s="1">
        <v>27.0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</row>
    <row r="542">
      <c r="A542" s="1" t="s">
        <v>554</v>
      </c>
      <c r="B542" s="1">
        <v>115.0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</row>
    <row r="543">
      <c r="A543" s="1" t="s">
        <v>555</v>
      </c>
      <c r="B543" s="1">
        <v>5.0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</row>
    <row r="544">
      <c r="A544" s="1" t="s">
        <v>556</v>
      </c>
      <c r="B544" s="1">
        <v>11.0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</row>
    <row r="545">
      <c r="A545" s="1" t="s">
        <v>557</v>
      </c>
      <c r="B545" s="1">
        <v>17.0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</row>
    <row r="546">
      <c r="A546" s="1" t="s">
        <v>558</v>
      </c>
      <c r="B546" s="1">
        <v>50.0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</row>
    <row r="547">
      <c r="A547" s="1" t="s">
        <v>559</v>
      </c>
      <c r="B547" s="1">
        <v>56.0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</row>
    <row r="548">
      <c r="A548" s="1" t="s">
        <v>560</v>
      </c>
      <c r="B548" s="1">
        <v>16.0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</row>
    <row r="549">
      <c r="A549" s="1" t="s">
        <v>561</v>
      </c>
      <c r="B549" s="1">
        <v>762.0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</row>
    <row r="550">
      <c r="A550" s="1" t="s">
        <v>562</v>
      </c>
      <c r="B550" s="1">
        <v>33.0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</row>
    <row r="551">
      <c r="A551" s="1" t="s">
        <v>563</v>
      </c>
      <c r="B551" s="1">
        <v>5.0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</row>
    <row r="552">
      <c r="A552" s="1" t="s">
        <v>564</v>
      </c>
      <c r="B552" s="1">
        <v>64.0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</row>
    <row r="553">
      <c r="A553" s="1" t="s">
        <v>565</v>
      </c>
      <c r="B553" s="1">
        <v>19.0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</row>
    <row r="554">
      <c r="A554" s="1" t="s">
        <v>566</v>
      </c>
      <c r="B554" s="1">
        <v>72.0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</row>
    <row r="555">
      <c r="A555" s="1" t="s">
        <v>567</v>
      </c>
      <c r="B555" s="1">
        <v>27.0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</row>
    <row r="556">
      <c r="A556" s="1" t="s">
        <v>568</v>
      </c>
      <c r="B556" s="1">
        <v>27.0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</row>
    <row r="557">
      <c r="A557" s="1" t="s">
        <v>569</v>
      </c>
      <c r="B557" s="1">
        <v>48.0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</row>
    <row r="558">
      <c r="A558" s="1" t="s">
        <v>570</v>
      </c>
      <c r="B558" s="1">
        <v>162.0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</row>
    <row r="559">
      <c r="A559" s="1" t="s">
        <v>571</v>
      </c>
      <c r="B559" s="1">
        <v>55.0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</row>
    <row r="560">
      <c r="A560" s="1" t="s">
        <v>572</v>
      </c>
      <c r="B560" s="1">
        <v>68.0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</row>
    <row r="561">
      <c r="A561" s="1" t="s">
        <v>573</v>
      </c>
      <c r="B561" s="1">
        <v>16.0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</row>
    <row r="562">
      <c r="A562" s="1" t="s">
        <v>574</v>
      </c>
      <c r="B562" s="1">
        <v>23.0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</row>
    <row r="563">
      <c r="A563" s="1" t="s">
        <v>575</v>
      </c>
      <c r="B563" s="1">
        <v>39.0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</row>
    <row r="564">
      <c r="A564" s="1" t="s">
        <v>576</v>
      </c>
      <c r="B564" s="1">
        <v>27.0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</row>
    <row r="565">
      <c r="A565" s="1" t="s">
        <v>577</v>
      </c>
      <c r="B565" s="1">
        <v>10.0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</row>
    <row r="566">
      <c r="A566" s="1" t="s">
        <v>578</v>
      </c>
      <c r="B566" s="1">
        <v>11.0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</row>
    <row r="567">
      <c r="A567" s="1" t="s">
        <v>579</v>
      </c>
      <c r="B567" s="1">
        <v>87.0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</row>
    <row r="568">
      <c r="A568" s="1" t="s">
        <v>580</v>
      </c>
      <c r="B568" s="1">
        <v>43.0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</row>
    <row r="569">
      <c r="A569" s="1" t="s">
        <v>581</v>
      </c>
      <c r="B569" s="1">
        <v>56.0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</row>
    <row r="570">
      <c r="A570" s="1" t="s">
        <v>582</v>
      </c>
      <c r="B570" s="1">
        <v>107.0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</row>
    <row r="571">
      <c r="A571" s="1" t="s">
        <v>583</v>
      </c>
      <c r="B571" s="1">
        <v>192.0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</row>
    <row r="572">
      <c r="A572" s="1" t="s">
        <v>584</v>
      </c>
      <c r="B572" s="1">
        <v>24.0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</row>
    <row r="573">
      <c r="A573" s="1" t="s">
        <v>585</v>
      </c>
      <c r="B573" s="1">
        <v>28.0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</row>
    <row r="574">
      <c r="A574" s="1" t="s">
        <v>586</v>
      </c>
      <c r="B574" s="1">
        <v>59.0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</row>
    <row r="575">
      <c r="A575" s="1" t="s">
        <v>587</v>
      </c>
      <c r="B575" s="1">
        <v>31.0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</row>
    <row r="576">
      <c r="A576" s="1" t="s">
        <v>588</v>
      </c>
      <c r="B576" s="1">
        <v>68.0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</row>
    <row r="577">
      <c r="A577" s="1" t="s">
        <v>589</v>
      </c>
      <c r="B577" s="1">
        <v>33.0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</row>
    <row r="578">
      <c r="A578" s="1" t="s">
        <v>590</v>
      </c>
      <c r="B578" s="1">
        <v>43.0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</row>
    <row r="579">
      <c r="A579" s="1" t="s">
        <v>591</v>
      </c>
      <c r="B579" s="1">
        <v>71.0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</row>
    <row r="580">
      <c r="A580" s="1" t="s">
        <v>592</v>
      </c>
      <c r="B580" s="1">
        <v>10.0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</row>
    <row r="581">
      <c r="A581" s="1" t="s">
        <v>593</v>
      </c>
      <c r="B581" s="1">
        <v>88.0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</row>
    <row r="582">
      <c r="A582" s="1" t="s">
        <v>594</v>
      </c>
      <c r="B582" s="1">
        <v>34.0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</row>
    <row r="583">
      <c r="A583" s="1" t="s">
        <v>595</v>
      </c>
      <c r="B583" s="1">
        <v>9.0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</row>
    <row r="584">
      <c r="A584" s="1" t="s">
        <v>596</v>
      </c>
      <c r="B584" s="1">
        <v>30.0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</row>
    <row r="585">
      <c r="A585" s="1" t="s">
        <v>597</v>
      </c>
      <c r="B585" s="1">
        <v>38.0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</row>
    <row r="586">
      <c r="A586" s="1" t="s">
        <v>598</v>
      </c>
      <c r="B586" s="1">
        <v>66.0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</row>
    <row r="587">
      <c r="A587" s="1" t="s">
        <v>599</v>
      </c>
      <c r="B587" s="1">
        <v>60.0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</row>
    <row r="588">
      <c r="A588" s="1" t="s">
        <v>600</v>
      </c>
      <c r="B588" s="1">
        <v>53.0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</row>
    <row r="589">
      <c r="A589" s="1" t="s">
        <v>601</v>
      </c>
      <c r="B589" s="1">
        <v>33.0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</row>
    <row r="590">
      <c r="A590" s="1" t="s">
        <v>602</v>
      </c>
      <c r="B590" s="1">
        <v>42.0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</row>
    <row r="591">
      <c r="A591" s="1" t="s">
        <v>603</v>
      </c>
      <c r="B591" s="1">
        <v>35.0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</row>
    <row r="592">
      <c r="A592" s="1" t="s">
        <v>604</v>
      </c>
      <c r="B592" s="1">
        <v>203.0</v>
      </c>
      <c r="C592" s="1">
        <v>1.0</v>
      </c>
      <c r="D592" s="1">
        <v>0.0</v>
      </c>
      <c r="E592" s="1">
        <v>0.0</v>
      </c>
      <c r="F592" s="1">
        <v>0.0</v>
      </c>
      <c r="G592" s="1">
        <v>0.0</v>
      </c>
    </row>
    <row r="593">
      <c r="A593" s="1" t="s">
        <v>605</v>
      </c>
      <c r="B593" s="1">
        <v>34.0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</row>
    <row r="594">
      <c r="A594" s="1" t="s">
        <v>606</v>
      </c>
      <c r="B594" s="1">
        <v>861.0</v>
      </c>
      <c r="C594" s="1">
        <v>12.0</v>
      </c>
      <c r="D594" s="1">
        <v>0.0</v>
      </c>
      <c r="E594" s="1">
        <v>1.0</v>
      </c>
      <c r="F594" s="1">
        <v>0.0</v>
      </c>
      <c r="G594" s="1">
        <v>3.0</v>
      </c>
    </row>
    <row r="595">
      <c r="A595" s="1" t="s">
        <v>607</v>
      </c>
      <c r="B595" s="1">
        <v>54.0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</row>
    <row r="596">
      <c r="A596" s="1" t="s">
        <v>608</v>
      </c>
      <c r="B596" s="1">
        <v>216.0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</row>
    <row r="597">
      <c r="A597" s="1" t="s">
        <v>609</v>
      </c>
      <c r="B597" s="1">
        <v>15.0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</row>
    <row r="598">
      <c r="A598" s="1" t="s">
        <v>610</v>
      </c>
      <c r="B598" s="1">
        <v>12.0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</row>
    <row r="599">
      <c r="A599" s="1" t="s">
        <v>611</v>
      </c>
      <c r="B599" s="1">
        <v>20.0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</row>
    <row r="600">
      <c r="A600" s="1" t="s">
        <v>612</v>
      </c>
      <c r="B600" s="1">
        <v>37.0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</row>
    <row r="601">
      <c r="A601" s="1" t="s">
        <v>613</v>
      </c>
      <c r="B601" s="1">
        <v>72.0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</row>
    <row r="602">
      <c r="A602" s="1" t="s">
        <v>614</v>
      </c>
      <c r="B602" s="1">
        <v>14.0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</row>
    <row r="603">
      <c r="A603" s="1" t="s">
        <v>615</v>
      </c>
      <c r="B603" s="1">
        <v>34.0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</row>
    <row r="604">
      <c r="A604" s="1" t="s">
        <v>616</v>
      </c>
      <c r="B604" s="1">
        <v>86.0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</row>
    <row r="605">
      <c r="A605" s="1" t="s">
        <v>617</v>
      </c>
      <c r="B605" s="1">
        <v>16.0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</row>
    <row r="606">
      <c r="A606" s="1" t="s">
        <v>618</v>
      </c>
      <c r="B606" s="1">
        <v>50.0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</row>
    <row r="607">
      <c r="A607" s="1" t="s">
        <v>619</v>
      </c>
      <c r="B607" s="1">
        <v>54.0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</row>
    <row r="608">
      <c r="A608" s="1" t="s">
        <v>620</v>
      </c>
      <c r="B608" s="1">
        <v>89.0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</row>
    <row r="609">
      <c r="A609" s="1" t="s">
        <v>621</v>
      </c>
      <c r="B609" s="1">
        <v>3.0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</row>
    <row r="610">
      <c r="A610" s="1" t="s">
        <v>622</v>
      </c>
      <c r="B610" s="1">
        <v>4.0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</row>
    <row r="611">
      <c r="A611" s="1" t="s">
        <v>623</v>
      </c>
      <c r="B611" s="1">
        <v>251.0</v>
      </c>
      <c r="C611" s="1">
        <v>1.0</v>
      </c>
      <c r="D611" s="1">
        <v>0.0</v>
      </c>
      <c r="E611" s="1">
        <v>0.0</v>
      </c>
      <c r="F611" s="1">
        <v>0.0</v>
      </c>
      <c r="G611" s="1">
        <v>0.0</v>
      </c>
    </row>
    <row r="612">
      <c r="A612" s="1" t="s">
        <v>624</v>
      </c>
      <c r="B612" s="1">
        <v>40.0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</row>
    <row r="613">
      <c r="A613" s="1" t="s">
        <v>625</v>
      </c>
      <c r="B613" s="1">
        <v>59.0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</row>
    <row r="614">
      <c r="A614" s="1" t="s">
        <v>626</v>
      </c>
      <c r="B614" s="1">
        <v>39.0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</row>
    <row r="615">
      <c r="A615" s="1" t="s">
        <v>627</v>
      </c>
      <c r="B615" s="1">
        <v>39.0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</row>
    <row r="616">
      <c r="A616" s="1" t="s">
        <v>628</v>
      </c>
      <c r="B616" s="1">
        <v>27.0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</row>
    <row r="617">
      <c r="A617" s="1" t="s">
        <v>629</v>
      </c>
      <c r="B617" s="1">
        <v>41.0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</row>
    <row r="618">
      <c r="A618" s="1" t="s">
        <v>630</v>
      </c>
      <c r="B618" s="1">
        <v>55.0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</row>
    <row r="619">
      <c r="A619" s="1" t="s">
        <v>631</v>
      </c>
      <c r="B619" s="1">
        <v>84.0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</row>
    <row r="620">
      <c r="A620" s="1" t="s">
        <v>632</v>
      </c>
      <c r="B620" s="1">
        <v>33.0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</row>
    <row r="621">
      <c r="A621" s="1" t="s">
        <v>633</v>
      </c>
      <c r="B621" s="1">
        <v>32.0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</row>
    <row r="622">
      <c r="A622" s="1" t="s">
        <v>634</v>
      </c>
      <c r="B622" s="1">
        <v>73.0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</row>
    <row r="623">
      <c r="A623" s="1" t="s">
        <v>635</v>
      </c>
      <c r="B623" s="1">
        <v>30.0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</row>
    <row r="624">
      <c r="A624" s="1" t="s">
        <v>636</v>
      </c>
      <c r="B624" s="1">
        <v>85.0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</row>
    <row r="625">
      <c r="A625" s="1" t="s">
        <v>637</v>
      </c>
      <c r="B625" s="1">
        <v>87.0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</row>
    <row r="626">
      <c r="A626" s="1" t="s">
        <v>638</v>
      </c>
      <c r="B626" s="1">
        <v>29.0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</row>
    <row r="627">
      <c r="A627" s="1" t="s">
        <v>639</v>
      </c>
      <c r="B627" s="1">
        <v>178.0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</row>
    <row r="628">
      <c r="A628" s="1" t="s">
        <v>640</v>
      </c>
      <c r="B628" s="1">
        <v>4.0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</row>
    <row r="629">
      <c r="A629" s="1" t="s">
        <v>641</v>
      </c>
      <c r="B629" s="1">
        <v>64.0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</row>
    <row r="630">
      <c r="A630" s="1" t="s">
        <v>642</v>
      </c>
      <c r="B630" s="1">
        <v>108.0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</row>
    <row r="631">
      <c r="A631" s="1" t="s">
        <v>643</v>
      </c>
      <c r="B631" s="1">
        <v>10.0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</row>
    <row r="632">
      <c r="A632" s="1" t="s">
        <v>644</v>
      </c>
      <c r="B632" s="1">
        <v>39.0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</row>
    <row r="633">
      <c r="A633" s="1" t="s">
        <v>645</v>
      </c>
      <c r="B633" s="1">
        <v>28.0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</row>
    <row r="634">
      <c r="A634" s="1" t="s">
        <v>646</v>
      </c>
      <c r="B634" s="1">
        <v>124.0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</row>
    <row r="635">
      <c r="A635" s="1" t="s">
        <v>647</v>
      </c>
      <c r="B635" s="1">
        <v>52.0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</row>
    <row r="636">
      <c r="A636" s="1" t="s">
        <v>648</v>
      </c>
      <c r="B636" s="1">
        <v>179.0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</row>
    <row r="637">
      <c r="A637" s="1" t="s">
        <v>649</v>
      </c>
      <c r="B637" s="1">
        <v>30.0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</row>
    <row r="638">
      <c r="A638" s="1" t="s">
        <v>650</v>
      </c>
      <c r="B638" s="1">
        <v>33.0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</row>
    <row r="639">
      <c r="A639" s="1" t="s">
        <v>651</v>
      </c>
      <c r="B639" s="1">
        <v>7.0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</row>
    <row r="640">
      <c r="A640" s="1" t="s">
        <v>652</v>
      </c>
      <c r="B640" s="1">
        <v>62.0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</row>
    <row r="641">
      <c r="A641" s="1" t="s">
        <v>653</v>
      </c>
      <c r="B641" s="1">
        <v>71.0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</row>
    <row r="642">
      <c r="A642" s="1" t="s">
        <v>654</v>
      </c>
      <c r="B642" s="1">
        <v>119.0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</row>
    <row r="643">
      <c r="A643" s="1" t="s">
        <v>655</v>
      </c>
      <c r="B643" s="1">
        <v>1008.0</v>
      </c>
      <c r="C643" s="1">
        <v>26.0</v>
      </c>
      <c r="D643" s="1">
        <v>0.0</v>
      </c>
      <c r="E643" s="1">
        <v>1.0</v>
      </c>
      <c r="F643" s="1">
        <v>0.0</v>
      </c>
      <c r="G643" s="1">
        <v>4.0</v>
      </c>
    </row>
    <row r="644">
      <c r="A644" s="1" t="s">
        <v>656</v>
      </c>
      <c r="B644" s="1">
        <v>281.0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</row>
    <row r="645">
      <c r="A645" s="1" t="s">
        <v>657</v>
      </c>
      <c r="B645" s="1">
        <v>23.0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</row>
    <row r="646">
      <c r="A646" s="1" t="s">
        <v>658</v>
      </c>
      <c r="B646" s="1">
        <v>10.0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</row>
    <row r="647">
      <c r="A647" s="1" t="s">
        <v>659</v>
      </c>
      <c r="B647" s="1">
        <v>18.0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</row>
    <row r="648">
      <c r="A648" s="1" t="s">
        <v>660</v>
      </c>
      <c r="B648" s="1">
        <v>15.0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</row>
    <row r="649">
      <c r="A649" s="1" t="s">
        <v>661</v>
      </c>
      <c r="B649" s="1">
        <v>26.0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</row>
    <row r="650">
      <c r="A650" s="1" t="s">
        <v>662</v>
      </c>
      <c r="B650" s="1">
        <v>39.0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</row>
    <row r="651">
      <c r="A651" s="1" t="s">
        <v>663</v>
      </c>
      <c r="B651" s="1">
        <v>55.0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</row>
    <row r="652">
      <c r="A652" s="1" t="s">
        <v>664</v>
      </c>
      <c r="B652" s="1">
        <v>92.0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</row>
    <row r="653">
      <c r="A653" s="1" t="s">
        <v>665</v>
      </c>
      <c r="B653" s="1">
        <v>24.0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</row>
    <row r="654">
      <c r="A654" s="1" t="s">
        <v>666</v>
      </c>
      <c r="B654" s="1">
        <v>9.0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</row>
    <row r="655">
      <c r="A655" s="1" t="s">
        <v>667</v>
      </c>
      <c r="B655" s="1">
        <v>34.0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</row>
    <row r="656">
      <c r="A656" s="1" t="s">
        <v>668</v>
      </c>
      <c r="B656" s="1">
        <v>34.0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</row>
    <row r="657">
      <c r="A657" s="1" t="s">
        <v>669</v>
      </c>
      <c r="B657" s="1">
        <v>24.0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</row>
    <row r="658">
      <c r="A658" s="1" t="s">
        <v>670</v>
      </c>
      <c r="B658" s="1">
        <v>28.0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</row>
    <row r="659">
      <c r="A659" s="1" t="s">
        <v>671</v>
      </c>
      <c r="B659" s="1">
        <v>60.0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</row>
    <row r="660">
      <c r="A660" s="1" t="s">
        <v>672</v>
      </c>
      <c r="B660" s="1">
        <v>38.0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</row>
    <row r="661">
      <c r="A661" s="1" t="s">
        <v>673</v>
      </c>
      <c r="B661" s="1">
        <v>212.0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</row>
    <row r="662">
      <c r="A662" s="1" t="s">
        <v>674</v>
      </c>
      <c r="B662" s="1">
        <v>2886.0</v>
      </c>
      <c r="C662" s="1">
        <v>1.0</v>
      </c>
      <c r="D662" s="1">
        <v>1.0</v>
      </c>
      <c r="E662" s="1">
        <v>1.0</v>
      </c>
      <c r="F662" s="1">
        <v>1.0</v>
      </c>
      <c r="G662" s="1">
        <v>1.0</v>
      </c>
    </row>
    <row r="663">
      <c r="A663" s="1" t="s">
        <v>675</v>
      </c>
      <c r="B663" s="1">
        <v>69.0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</row>
    <row r="664">
      <c r="A664" s="1" t="s">
        <v>676</v>
      </c>
      <c r="B664" s="1">
        <v>10.0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</row>
    <row r="665">
      <c r="A665" s="1" t="s">
        <v>677</v>
      </c>
      <c r="B665" s="1">
        <v>11.0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</row>
    <row r="666">
      <c r="A666" s="1" t="s">
        <v>678</v>
      </c>
      <c r="B666" s="1">
        <v>190.0</v>
      </c>
      <c r="C666" s="1">
        <v>1.0</v>
      </c>
      <c r="D666" s="1">
        <v>0.0</v>
      </c>
      <c r="E666" s="1">
        <v>0.0</v>
      </c>
      <c r="F666" s="1">
        <v>0.0</v>
      </c>
      <c r="G666" s="1">
        <v>1.0</v>
      </c>
    </row>
    <row r="667">
      <c r="A667" s="1" t="s">
        <v>679</v>
      </c>
      <c r="B667" s="1">
        <v>2.0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</row>
    <row r="668">
      <c r="A668" s="1" t="s">
        <v>680</v>
      </c>
      <c r="B668" s="1">
        <v>101.0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</row>
    <row r="669">
      <c r="A669" s="1" t="s">
        <v>681</v>
      </c>
      <c r="B669" s="1">
        <v>34.0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</row>
    <row r="670">
      <c r="A670" s="1" t="s">
        <v>682</v>
      </c>
      <c r="B670" s="1">
        <v>110.0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</row>
    <row r="671">
      <c r="A671" s="1" t="s">
        <v>683</v>
      </c>
      <c r="B671" s="1">
        <v>18.0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</row>
    <row r="672">
      <c r="A672" s="1" t="s">
        <v>684</v>
      </c>
      <c r="B672" s="1">
        <v>10.0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</row>
    <row r="673">
      <c r="A673" s="1" t="s">
        <v>685</v>
      </c>
      <c r="B673" s="1">
        <v>36.0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</row>
    <row r="674">
      <c r="A674" s="1" t="s">
        <v>686</v>
      </c>
      <c r="B674" s="1">
        <v>29.0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</row>
    <row r="675">
      <c r="A675" s="1" t="s">
        <v>687</v>
      </c>
      <c r="B675" s="1">
        <v>9.0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</row>
    <row r="676">
      <c r="A676" s="1" t="s">
        <v>688</v>
      </c>
      <c r="B676" s="1">
        <v>14.0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</row>
    <row r="677">
      <c r="A677" s="1" t="s">
        <v>689</v>
      </c>
      <c r="B677" s="1">
        <v>157.0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</row>
    <row r="678">
      <c r="A678" s="1" t="s">
        <v>690</v>
      </c>
      <c r="B678" s="1">
        <v>23.0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</row>
    <row r="679">
      <c r="A679" s="1" t="s">
        <v>691</v>
      </c>
      <c r="B679" s="1">
        <v>10.0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</row>
    <row r="680">
      <c r="A680" s="1" t="s">
        <v>692</v>
      </c>
      <c r="B680" s="1">
        <v>58.0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</row>
    <row r="681">
      <c r="A681" s="1" t="s">
        <v>693</v>
      </c>
      <c r="B681" s="1">
        <v>39.0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</row>
    <row r="682">
      <c r="A682" s="1" t="s">
        <v>694</v>
      </c>
      <c r="B682" s="1">
        <v>215.0</v>
      </c>
      <c r="C682" s="1">
        <v>1.0</v>
      </c>
      <c r="D682" s="1">
        <v>0.0</v>
      </c>
      <c r="E682" s="1">
        <v>0.0</v>
      </c>
      <c r="F682" s="1">
        <v>0.0</v>
      </c>
      <c r="G682" s="1">
        <v>1.0</v>
      </c>
    </row>
    <row r="683">
      <c r="A683" s="1" t="s">
        <v>695</v>
      </c>
      <c r="B683" s="1">
        <v>32.0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</row>
    <row r="684">
      <c r="A684" s="1" t="s">
        <v>696</v>
      </c>
      <c r="B684" s="1">
        <v>16.0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</row>
    <row r="685">
      <c r="A685" s="1" t="s">
        <v>697</v>
      </c>
      <c r="B685" s="1">
        <v>49.0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</row>
    <row r="686">
      <c r="A686" s="1" t="s">
        <v>698</v>
      </c>
      <c r="B686" s="1">
        <v>33.0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</row>
    <row r="687">
      <c r="A687" s="1" t="s">
        <v>699</v>
      </c>
      <c r="B687" s="1">
        <v>130.0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</row>
    <row r="688">
      <c r="A688" s="1" t="s">
        <v>700</v>
      </c>
      <c r="B688" s="1">
        <v>114.0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</row>
    <row r="689">
      <c r="A689" s="1" t="s">
        <v>701</v>
      </c>
      <c r="B689" s="1">
        <v>54.0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</row>
    <row r="690">
      <c r="A690" s="1" t="s">
        <v>702</v>
      </c>
      <c r="B690" s="1">
        <v>34.0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</row>
    <row r="691">
      <c r="A691" s="1" t="s">
        <v>703</v>
      </c>
      <c r="B691" s="1">
        <v>135.0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</row>
    <row r="692">
      <c r="A692" s="1" t="s">
        <v>704</v>
      </c>
      <c r="B692" s="1">
        <v>86.0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</row>
    <row r="693">
      <c r="A693" s="1" t="s">
        <v>705</v>
      </c>
      <c r="B693" s="1">
        <v>385.0</v>
      </c>
      <c r="C693" s="1">
        <v>5.0</v>
      </c>
      <c r="D693" s="1">
        <v>0.0</v>
      </c>
      <c r="E693" s="1">
        <v>0.0</v>
      </c>
      <c r="F693" s="1">
        <v>0.0</v>
      </c>
      <c r="G693" s="1">
        <v>1.0</v>
      </c>
    </row>
    <row r="694">
      <c r="A694" s="1" t="s">
        <v>706</v>
      </c>
      <c r="B694" s="1">
        <v>90.0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</row>
    <row r="695">
      <c r="A695" s="1" t="s">
        <v>707</v>
      </c>
      <c r="B695" s="1">
        <v>20.0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</row>
    <row r="696">
      <c r="A696" s="1" t="s">
        <v>708</v>
      </c>
      <c r="B696" s="1">
        <v>32.0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</row>
    <row r="697">
      <c r="A697" s="1" t="s">
        <v>709</v>
      </c>
      <c r="B697" s="1">
        <v>54.0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</row>
    <row r="698">
      <c r="A698" s="1" t="s">
        <v>710</v>
      </c>
      <c r="B698" s="1">
        <v>29.0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</row>
    <row r="699">
      <c r="A699" s="1" t="s">
        <v>711</v>
      </c>
      <c r="B699" s="1">
        <v>19.0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</row>
    <row r="700">
      <c r="A700" s="1" t="s">
        <v>712</v>
      </c>
      <c r="B700" s="1">
        <v>131.0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</row>
    <row r="701">
      <c r="A701" s="1" t="s">
        <v>713</v>
      </c>
      <c r="B701" s="1">
        <v>28.0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</row>
    <row r="702">
      <c r="A702" s="1" t="s">
        <v>714</v>
      </c>
      <c r="B702" s="1">
        <v>7.0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</row>
    <row r="703">
      <c r="A703" s="1" t="s">
        <v>715</v>
      </c>
      <c r="B703" s="1">
        <v>16.0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</row>
    <row r="704">
      <c r="A704" s="1" t="s">
        <v>716</v>
      </c>
      <c r="B704" s="1">
        <v>6.0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</row>
    <row r="705">
      <c r="A705" s="1" t="s">
        <v>717</v>
      </c>
      <c r="B705" s="1">
        <v>94.0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</row>
    <row r="706">
      <c r="A706" s="1" t="s">
        <v>718</v>
      </c>
      <c r="B706" s="1">
        <v>14.0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</row>
    <row r="707">
      <c r="A707" s="1" t="s">
        <v>719</v>
      </c>
      <c r="B707" s="1">
        <v>146.0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</row>
    <row r="708">
      <c r="A708" s="1" t="s">
        <v>720</v>
      </c>
      <c r="B708" s="1">
        <v>91.0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</row>
    <row r="709">
      <c r="A709" s="1" t="s">
        <v>721</v>
      </c>
      <c r="B709" s="1">
        <v>113.0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</row>
    <row r="710">
      <c r="A710" s="1" t="s">
        <v>722</v>
      </c>
      <c r="B710" s="1">
        <v>1128.0</v>
      </c>
      <c r="C710" s="1">
        <v>1.0</v>
      </c>
      <c r="D710" s="1">
        <v>0.0</v>
      </c>
      <c r="E710" s="1">
        <v>0.0</v>
      </c>
      <c r="F710" s="1">
        <v>0.0</v>
      </c>
      <c r="G710" s="1">
        <v>0.0</v>
      </c>
    </row>
    <row r="711">
      <c r="A711" s="1" t="s">
        <v>723</v>
      </c>
      <c r="B711" s="1">
        <v>21.0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</row>
    <row r="712">
      <c r="A712" s="1" t="s">
        <v>724</v>
      </c>
      <c r="B712" s="1">
        <v>112.0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</row>
    <row r="713">
      <c r="A713" s="1" t="s">
        <v>725</v>
      </c>
      <c r="B713" s="1">
        <v>37.0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</row>
    <row r="714">
      <c r="A714" s="1" t="s">
        <v>726</v>
      </c>
      <c r="B714" s="1">
        <v>23.0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</row>
    <row r="715">
      <c r="A715" s="1" t="s">
        <v>727</v>
      </c>
      <c r="B715" s="1">
        <v>53.0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</row>
    <row r="716">
      <c r="A716" s="1" t="s">
        <v>728</v>
      </c>
      <c r="B716" s="1">
        <v>53.0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</row>
    <row r="717">
      <c r="A717" s="1" t="s">
        <v>729</v>
      </c>
      <c r="B717" s="1">
        <v>42.0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</row>
    <row r="718">
      <c r="A718" s="1" t="s">
        <v>730</v>
      </c>
      <c r="B718" s="1">
        <v>28.0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</row>
    <row r="719">
      <c r="A719" s="1" t="s">
        <v>731</v>
      </c>
      <c r="B719" s="1">
        <v>13.0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</row>
    <row r="720">
      <c r="A720" s="1" t="s">
        <v>732</v>
      </c>
      <c r="B720" s="1">
        <v>7.0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</row>
    <row r="721">
      <c r="A721" s="1" t="s">
        <v>733</v>
      </c>
      <c r="B721" s="1">
        <v>70.0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</row>
    <row r="722">
      <c r="A722" s="1" t="s">
        <v>734</v>
      </c>
      <c r="B722" s="1">
        <v>42.0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</row>
    <row r="723">
      <c r="A723" s="1" t="s">
        <v>735</v>
      </c>
      <c r="B723" s="1">
        <v>403.0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</row>
    <row r="724">
      <c r="A724" s="1" t="s">
        <v>736</v>
      </c>
      <c r="B724" s="1">
        <v>72.0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</row>
    <row r="725">
      <c r="A725" s="1" t="s">
        <v>737</v>
      </c>
      <c r="B725" s="1">
        <v>7.0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</row>
    <row r="726">
      <c r="A726" s="1" t="s">
        <v>738</v>
      </c>
      <c r="B726" s="1">
        <v>9.0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</row>
    <row r="727">
      <c r="A727" s="1" t="s">
        <v>739</v>
      </c>
      <c r="B727" s="1">
        <v>68.0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</row>
    <row r="728">
      <c r="A728" s="1" t="s">
        <v>740</v>
      </c>
      <c r="B728" s="1">
        <v>200.0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</row>
    <row r="729">
      <c r="A729" s="1" t="s">
        <v>741</v>
      </c>
      <c r="B729" s="1">
        <v>11.0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</row>
    <row r="730">
      <c r="A730" s="1" t="s">
        <v>742</v>
      </c>
      <c r="B730" s="1">
        <v>99.0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</row>
    <row r="731">
      <c r="A731" s="1" t="s">
        <v>743</v>
      </c>
      <c r="B731" s="1">
        <v>121.0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</row>
    <row r="732">
      <c r="A732" s="1" t="s">
        <v>744</v>
      </c>
      <c r="B732" s="1">
        <v>28.0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</row>
    <row r="733">
      <c r="A733" s="1" t="s">
        <v>745</v>
      </c>
      <c r="B733" s="1">
        <v>83.0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</row>
    <row r="734">
      <c r="A734" s="1" t="s">
        <v>746</v>
      </c>
      <c r="B734" s="1">
        <v>35.0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</row>
    <row r="735">
      <c r="A735" s="1" t="s">
        <v>747</v>
      </c>
      <c r="B735" s="1">
        <v>42.0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</row>
    <row r="736">
      <c r="A736" s="1" t="s">
        <v>748</v>
      </c>
      <c r="B736" s="1">
        <v>32.0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</row>
    <row r="737">
      <c r="A737" s="1" t="s">
        <v>749</v>
      </c>
      <c r="B737" s="1">
        <v>30.0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</row>
    <row r="738">
      <c r="A738" s="1" t="s">
        <v>750</v>
      </c>
      <c r="B738" s="1">
        <v>20.0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</row>
    <row r="739">
      <c r="A739" s="1" t="s">
        <v>751</v>
      </c>
      <c r="B739" s="1">
        <v>6.0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</row>
    <row r="740">
      <c r="A740" s="1" t="s">
        <v>752</v>
      </c>
      <c r="B740" s="1">
        <v>27.0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</row>
    <row r="741">
      <c r="A741" s="1" t="s">
        <v>753</v>
      </c>
      <c r="B741" s="1">
        <v>10.0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</row>
    <row r="742">
      <c r="A742" s="1" t="s">
        <v>754</v>
      </c>
      <c r="B742" s="1">
        <v>42.0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</row>
    <row r="743">
      <c r="A743" s="1" t="s">
        <v>755</v>
      </c>
      <c r="B743" s="1">
        <v>26.0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</row>
    <row r="744">
      <c r="A744" s="1" t="s">
        <v>756</v>
      </c>
      <c r="B744" s="1">
        <v>65.0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</row>
    <row r="745">
      <c r="A745" s="1" t="s">
        <v>757</v>
      </c>
      <c r="B745" s="1">
        <v>173.0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</row>
    <row r="746">
      <c r="A746" s="1" t="s">
        <v>758</v>
      </c>
      <c r="B746" s="1">
        <v>51.0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</row>
    <row r="747">
      <c r="A747" s="1" t="s">
        <v>759</v>
      </c>
      <c r="B747" s="1">
        <v>74.0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</row>
    <row r="748">
      <c r="A748" s="1" t="s">
        <v>760</v>
      </c>
      <c r="B748" s="1">
        <v>24.0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</row>
    <row r="749">
      <c r="A749" s="1" t="s">
        <v>761</v>
      </c>
      <c r="B749" s="1">
        <v>31.0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</row>
    <row r="750">
      <c r="A750" s="1" t="s">
        <v>762</v>
      </c>
      <c r="B750" s="1">
        <v>31.0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</row>
    <row r="751">
      <c r="A751" s="1" t="s">
        <v>763</v>
      </c>
      <c r="B751" s="1">
        <v>21.0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</row>
    <row r="752">
      <c r="A752" s="1" t="s">
        <v>764</v>
      </c>
      <c r="B752" s="1">
        <v>27.0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</row>
    <row r="753">
      <c r="A753" s="1" t="s">
        <v>765</v>
      </c>
      <c r="B753" s="1">
        <v>77.0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</row>
    <row r="754">
      <c r="A754" s="1" t="s">
        <v>766</v>
      </c>
      <c r="B754" s="1">
        <v>67.0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</row>
    <row r="755">
      <c r="A755" s="1" t="s">
        <v>767</v>
      </c>
      <c r="B755" s="1">
        <v>33.0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</row>
    <row r="756">
      <c r="A756" s="1" t="s">
        <v>768</v>
      </c>
      <c r="B756" s="1">
        <v>11.0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</row>
    <row r="757">
      <c r="A757" s="1" t="s">
        <v>769</v>
      </c>
      <c r="B757" s="1">
        <v>7.0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</row>
    <row r="758">
      <c r="A758" s="1" t="s">
        <v>770</v>
      </c>
      <c r="B758" s="1">
        <v>34.0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</row>
    <row r="759">
      <c r="A759" s="1" t="s">
        <v>771</v>
      </c>
      <c r="B759" s="1">
        <v>12.0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</row>
    <row r="760">
      <c r="A760" s="1" t="s">
        <v>772</v>
      </c>
      <c r="B760" s="1">
        <v>15.0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</row>
    <row r="761">
      <c r="A761" s="1" t="s">
        <v>773</v>
      </c>
      <c r="B761" s="1">
        <v>5.0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</row>
    <row r="762">
      <c r="A762" s="1" t="s">
        <v>774</v>
      </c>
      <c r="B762" s="1">
        <v>56.0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</row>
    <row r="763">
      <c r="A763" s="1" t="s">
        <v>775</v>
      </c>
      <c r="B763" s="1">
        <v>90.0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</row>
    <row r="764">
      <c r="A764" s="1" t="s">
        <v>776</v>
      </c>
      <c r="B764" s="1">
        <v>76.0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</row>
    <row r="765">
      <c r="A765" s="1" t="s">
        <v>777</v>
      </c>
      <c r="B765" s="1">
        <v>34.0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</row>
    <row r="766">
      <c r="A766" s="1" t="s">
        <v>778</v>
      </c>
      <c r="B766" s="1">
        <v>132.0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</row>
    <row r="767">
      <c r="A767" s="1" t="s">
        <v>779</v>
      </c>
      <c r="B767" s="1">
        <v>12.0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</row>
    <row r="768">
      <c r="A768" s="1" t="s">
        <v>780</v>
      </c>
      <c r="B768" s="1">
        <v>5.0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</row>
    <row r="769">
      <c r="A769" s="1" t="s">
        <v>781</v>
      </c>
      <c r="B769" s="1">
        <v>58.0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</row>
    <row r="770">
      <c r="A770" s="1" t="s">
        <v>782</v>
      </c>
      <c r="B770" s="1">
        <v>4.0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</row>
    <row r="771">
      <c r="A771" s="1" t="s">
        <v>783</v>
      </c>
      <c r="B771" s="1">
        <v>10.0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</row>
    <row r="772">
      <c r="A772" s="1" t="s">
        <v>784</v>
      </c>
      <c r="B772" s="1">
        <v>42.0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</row>
    <row r="773">
      <c r="A773" s="1" t="s">
        <v>785</v>
      </c>
      <c r="B773" s="1">
        <v>37.0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</row>
    <row r="774">
      <c r="A774" s="1" t="s">
        <v>786</v>
      </c>
      <c r="B774" s="1">
        <v>33.0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</row>
    <row r="775">
      <c r="A775" s="1" t="s">
        <v>787</v>
      </c>
      <c r="B775" s="1">
        <v>5.0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</row>
    <row r="776">
      <c r="A776" s="1" t="s">
        <v>788</v>
      </c>
      <c r="B776" s="1">
        <v>14.0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</row>
    <row r="777">
      <c r="A777" s="1" t="s">
        <v>789</v>
      </c>
      <c r="B777" s="1">
        <v>168.0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</row>
    <row r="778">
      <c r="A778" s="1" t="s">
        <v>790</v>
      </c>
      <c r="B778" s="1">
        <v>10.0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</row>
    <row r="779">
      <c r="A779" s="1" t="s">
        <v>791</v>
      </c>
      <c r="B779" s="1">
        <v>29.0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</row>
    <row r="780">
      <c r="A780" s="1" t="s">
        <v>792</v>
      </c>
      <c r="B780" s="1">
        <v>49.0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</row>
    <row r="781">
      <c r="A781" s="1" t="s">
        <v>793</v>
      </c>
      <c r="B781" s="1">
        <v>33.0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</row>
    <row r="782">
      <c r="A782" s="1" t="s">
        <v>794</v>
      </c>
      <c r="B782" s="1">
        <v>17.0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</row>
    <row r="783">
      <c r="A783" s="1" t="s">
        <v>795</v>
      </c>
      <c r="B783" s="1">
        <v>29.0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</row>
    <row r="784">
      <c r="A784" s="1" t="s">
        <v>796</v>
      </c>
      <c r="B784" s="1">
        <v>11.0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</row>
    <row r="785">
      <c r="A785" s="1" t="s">
        <v>797</v>
      </c>
      <c r="B785" s="1">
        <v>12.0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</row>
    <row r="786">
      <c r="A786" s="1" t="s">
        <v>798</v>
      </c>
      <c r="B786" s="1">
        <v>766.0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</row>
    <row r="787">
      <c r="A787" s="1" t="s">
        <v>799</v>
      </c>
      <c r="B787" s="1">
        <v>43.0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</row>
    <row r="788">
      <c r="A788" s="1" t="s">
        <v>800</v>
      </c>
      <c r="B788" s="1">
        <v>155.0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</row>
    <row r="789">
      <c r="A789" s="1" t="s">
        <v>801</v>
      </c>
      <c r="B789" s="1">
        <v>101.0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</row>
    <row r="790">
      <c r="A790" s="1" t="s">
        <v>802</v>
      </c>
      <c r="B790" s="1">
        <v>23.0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</row>
    <row r="791">
      <c r="A791" s="1" t="s">
        <v>803</v>
      </c>
      <c r="B791" s="1">
        <v>12.0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</row>
    <row r="792">
      <c r="A792" s="1" t="s">
        <v>804</v>
      </c>
      <c r="B792" s="1">
        <v>141.0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</row>
    <row r="793">
      <c r="A793" s="1" t="s">
        <v>805</v>
      </c>
      <c r="B793" s="1">
        <v>54.0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</row>
    <row r="794">
      <c r="A794" s="1" t="s">
        <v>806</v>
      </c>
      <c r="B794" s="1">
        <v>78.0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</row>
    <row r="795">
      <c r="A795" s="1" t="s">
        <v>807</v>
      </c>
      <c r="B795" s="1">
        <v>25.0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</row>
    <row r="796">
      <c r="A796" s="1" t="s">
        <v>808</v>
      </c>
      <c r="B796" s="1">
        <v>78.0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</row>
    <row r="797">
      <c r="A797" s="1" t="s">
        <v>809</v>
      </c>
      <c r="B797" s="1">
        <v>36.0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</row>
    <row r="798">
      <c r="A798" s="1" t="s">
        <v>810</v>
      </c>
      <c r="B798" s="1">
        <v>23.0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</row>
    <row r="799">
      <c r="A799" s="1" t="s">
        <v>811</v>
      </c>
      <c r="B799" s="1">
        <v>28.0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</row>
    <row r="800">
      <c r="A800" s="1" t="s">
        <v>812</v>
      </c>
      <c r="B800" s="1">
        <v>102.0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</row>
    <row r="801">
      <c r="A801" s="1" t="s">
        <v>813</v>
      </c>
      <c r="B801" s="1">
        <v>105.0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</row>
    <row r="802">
      <c r="A802" s="1" t="s">
        <v>814</v>
      </c>
      <c r="B802" s="1">
        <v>692.0</v>
      </c>
      <c r="C802" s="1">
        <v>6.0</v>
      </c>
      <c r="D802" s="1">
        <v>0.0</v>
      </c>
      <c r="E802" s="1">
        <v>0.0</v>
      </c>
      <c r="F802" s="1">
        <v>0.0</v>
      </c>
      <c r="G802" s="1">
        <v>1.0</v>
      </c>
    </row>
    <row r="803">
      <c r="A803" s="1" t="s">
        <v>815</v>
      </c>
      <c r="B803" s="1">
        <v>18.0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</row>
    <row r="804">
      <c r="A804" s="1" t="s">
        <v>816</v>
      </c>
      <c r="B804" s="1">
        <v>4.0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</row>
    <row r="805">
      <c r="A805" s="1" t="s">
        <v>817</v>
      </c>
      <c r="B805" s="1">
        <v>18.0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</row>
    <row r="806">
      <c r="A806" s="1" t="s">
        <v>818</v>
      </c>
      <c r="B806" s="1">
        <v>121.0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</row>
    <row r="807">
      <c r="A807" s="1" t="s">
        <v>819</v>
      </c>
      <c r="B807" s="1">
        <v>15.0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</row>
    <row r="808">
      <c r="A808" s="1" t="s">
        <v>820</v>
      </c>
      <c r="B808" s="1">
        <v>38.0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</row>
    <row r="809">
      <c r="A809" s="1" t="s">
        <v>821</v>
      </c>
      <c r="B809" s="1">
        <v>112.0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</row>
    <row r="810">
      <c r="A810" s="1" t="s">
        <v>822</v>
      </c>
      <c r="B810" s="1">
        <v>123.0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</row>
    <row r="811">
      <c r="A811" s="1" t="s">
        <v>823</v>
      </c>
      <c r="B811" s="1">
        <v>41.0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</row>
    <row r="812">
      <c r="A812" s="1" t="s">
        <v>824</v>
      </c>
      <c r="B812" s="1">
        <v>95.0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</row>
    <row r="813">
      <c r="A813" s="1" t="s">
        <v>825</v>
      </c>
      <c r="B813" s="1">
        <v>12.0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</row>
    <row r="814">
      <c r="A814" s="1" t="s">
        <v>826</v>
      </c>
      <c r="B814" s="1">
        <v>42.0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</row>
    <row r="815">
      <c r="A815" s="1" t="s">
        <v>827</v>
      </c>
      <c r="B815" s="1">
        <v>103.0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</row>
    <row r="816">
      <c r="A816" s="1" t="s">
        <v>828</v>
      </c>
      <c r="B816" s="1">
        <v>257.0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</row>
    <row r="817">
      <c r="A817" s="1" t="s">
        <v>829</v>
      </c>
      <c r="B817" s="1">
        <v>99.0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</row>
    <row r="818">
      <c r="A818" s="1" t="s">
        <v>830</v>
      </c>
      <c r="B818" s="1">
        <v>13.0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</row>
    <row r="819">
      <c r="A819" s="1" t="s">
        <v>831</v>
      </c>
      <c r="B819" s="1">
        <v>155.0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</row>
    <row r="820">
      <c r="A820" s="1" t="s">
        <v>832</v>
      </c>
      <c r="B820" s="1">
        <v>87.0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</row>
    <row r="821">
      <c r="A821" s="1" t="s">
        <v>833</v>
      </c>
      <c r="B821" s="1">
        <v>26.0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</row>
    <row r="822">
      <c r="A822" s="1" t="s">
        <v>834</v>
      </c>
      <c r="B822" s="1">
        <v>32.0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</row>
    <row r="823">
      <c r="A823" s="1" t="s">
        <v>835</v>
      </c>
      <c r="B823" s="1">
        <v>79.0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</row>
    <row r="824">
      <c r="A824" s="1" t="s">
        <v>836</v>
      </c>
      <c r="B824" s="1">
        <v>66513.0</v>
      </c>
      <c r="C824" s="1">
        <v>531.0</v>
      </c>
      <c r="D824" s="1">
        <v>27.0</v>
      </c>
      <c r="E824" s="1">
        <v>2358.0</v>
      </c>
      <c r="F824" s="1">
        <v>24.0</v>
      </c>
      <c r="G824" s="1">
        <v>34.0</v>
      </c>
    </row>
    <row r="825">
      <c r="A825" s="1" t="s">
        <v>837</v>
      </c>
      <c r="B825" s="1">
        <v>33.0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</row>
    <row r="826">
      <c r="A826" s="1" t="s">
        <v>838</v>
      </c>
      <c r="B826" s="1">
        <v>115.0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</row>
    <row r="827">
      <c r="A827" s="1" t="s">
        <v>839</v>
      </c>
      <c r="B827" s="1">
        <v>1128.0</v>
      </c>
      <c r="C827" s="1">
        <v>1.0</v>
      </c>
      <c r="D827" s="1">
        <v>0.0</v>
      </c>
      <c r="E827" s="1">
        <v>0.0</v>
      </c>
      <c r="F827" s="1">
        <v>0.0</v>
      </c>
      <c r="G827" s="1">
        <v>0.0</v>
      </c>
    </row>
    <row r="828">
      <c r="A828" s="1" t="s">
        <v>840</v>
      </c>
      <c r="B828" s="1">
        <v>17.0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</row>
    <row r="829">
      <c r="A829" s="1" t="s">
        <v>841</v>
      </c>
      <c r="B829" s="1">
        <v>21.0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</row>
    <row r="830">
      <c r="A830" s="1" t="s">
        <v>842</v>
      </c>
      <c r="B830" s="1">
        <v>71.0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</row>
    <row r="831">
      <c r="A831" s="1" t="s">
        <v>843</v>
      </c>
      <c r="B831" s="1">
        <v>51.0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</row>
    <row r="832">
      <c r="A832" s="1" t="s">
        <v>844</v>
      </c>
      <c r="B832" s="1">
        <v>19.0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</row>
    <row r="833">
      <c r="A833" s="1" t="s">
        <v>845</v>
      </c>
      <c r="B833" s="1">
        <v>46.0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</row>
    <row r="834">
      <c r="A834" s="1" t="s">
        <v>846</v>
      </c>
      <c r="B834" s="1">
        <v>195.0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</row>
    <row r="835">
      <c r="A835" s="1" t="s">
        <v>847</v>
      </c>
      <c r="B835" s="1">
        <v>30.0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</row>
    <row r="836">
      <c r="A836" s="1" t="s">
        <v>848</v>
      </c>
      <c r="B836" s="1">
        <v>155.0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</row>
    <row r="837">
      <c r="A837" s="1" t="s">
        <v>849</v>
      </c>
      <c r="B837" s="1">
        <v>33.0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</row>
    <row r="838">
      <c r="A838" s="1" t="s">
        <v>850</v>
      </c>
      <c r="B838" s="1">
        <v>61.0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</row>
    <row r="839">
      <c r="A839" s="1" t="s">
        <v>851</v>
      </c>
      <c r="B839" s="1">
        <v>46.0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</row>
    <row r="840">
      <c r="A840" s="1" t="s">
        <v>852</v>
      </c>
      <c r="B840" s="1">
        <v>20.0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</row>
    <row r="841">
      <c r="A841" s="1" t="s">
        <v>853</v>
      </c>
      <c r="B841" s="1">
        <v>17.0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</row>
    <row r="842">
      <c r="A842" s="1" t="s">
        <v>854</v>
      </c>
      <c r="B842" s="1">
        <v>54.0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</row>
    <row r="843">
      <c r="A843" s="1" t="s">
        <v>855</v>
      </c>
      <c r="B843" s="1">
        <v>13.0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</row>
    <row r="844">
      <c r="A844" s="1" t="s">
        <v>856</v>
      </c>
      <c r="B844" s="1">
        <v>40.0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</row>
    <row r="845">
      <c r="A845" s="1" t="s">
        <v>857</v>
      </c>
      <c r="B845" s="1">
        <v>14.0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</row>
    <row r="846">
      <c r="A846" s="1" t="s">
        <v>858</v>
      </c>
      <c r="B846" s="1">
        <v>65.0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</row>
    <row r="847">
      <c r="A847" s="1" t="s">
        <v>859</v>
      </c>
      <c r="B847" s="1">
        <v>18.0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</row>
    <row r="848">
      <c r="A848" s="1" t="s">
        <v>860</v>
      </c>
      <c r="B848" s="1">
        <v>128.0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</row>
    <row r="849">
      <c r="A849" s="1" t="s">
        <v>861</v>
      </c>
      <c r="B849" s="1">
        <v>54.0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</row>
    <row r="850">
      <c r="A850" s="1" t="s">
        <v>862</v>
      </c>
      <c r="B850" s="1">
        <v>67.0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</row>
    <row r="851">
      <c r="A851" s="1" t="s">
        <v>863</v>
      </c>
      <c r="B851" s="1">
        <v>22.0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</row>
    <row r="852">
      <c r="A852" s="1" t="s">
        <v>864</v>
      </c>
      <c r="B852" s="1">
        <v>151.0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</row>
    <row r="853">
      <c r="A853" s="1" t="s">
        <v>865</v>
      </c>
      <c r="B853" s="1">
        <v>118.0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</row>
    <row r="854">
      <c r="A854" s="1" t="s">
        <v>866</v>
      </c>
      <c r="B854" s="1">
        <v>24.0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</row>
    <row r="855">
      <c r="A855" s="1" t="s">
        <v>867</v>
      </c>
      <c r="B855" s="1">
        <v>42.0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</row>
    <row r="856">
      <c r="A856" s="1" t="s">
        <v>868</v>
      </c>
      <c r="B856" s="1">
        <v>36.0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</row>
    <row r="857">
      <c r="A857" s="1" t="s">
        <v>869</v>
      </c>
      <c r="B857" s="1">
        <v>65.0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</row>
    <row r="858">
      <c r="A858" s="1" t="s">
        <v>870</v>
      </c>
      <c r="B858" s="1">
        <v>20.0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</row>
    <row r="859">
      <c r="A859" s="1" t="s">
        <v>871</v>
      </c>
      <c r="B859" s="1">
        <v>22.0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</row>
    <row r="860">
      <c r="A860" s="1" t="s">
        <v>872</v>
      </c>
      <c r="B860" s="1">
        <v>32.0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</row>
    <row r="861">
      <c r="A861" s="1" t="s">
        <v>873</v>
      </c>
      <c r="B861" s="1">
        <v>17.0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</row>
    <row r="862">
      <c r="A862" s="1" t="s">
        <v>874</v>
      </c>
      <c r="B862" s="1">
        <v>14.0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</row>
    <row r="863">
      <c r="A863" s="1" t="s">
        <v>875</v>
      </c>
      <c r="B863" s="1">
        <v>45.0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</row>
    <row r="864">
      <c r="A864" s="1" t="s">
        <v>876</v>
      </c>
      <c r="B864" s="1">
        <v>43.0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</row>
    <row r="865">
      <c r="A865" s="1" t="s">
        <v>877</v>
      </c>
      <c r="B865" s="1">
        <v>17.0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</row>
    <row r="866">
      <c r="A866" s="1" t="s">
        <v>878</v>
      </c>
      <c r="B866" s="1">
        <v>92.0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</row>
    <row r="867">
      <c r="A867" s="1" t="s">
        <v>879</v>
      </c>
      <c r="B867" s="1">
        <v>49.0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</row>
    <row r="868">
      <c r="A868" s="1" t="s">
        <v>880</v>
      </c>
      <c r="B868" s="1">
        <v>4.0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</row>
    <row r="869">
      <c r="A869" s="1" t="s">
        <v>881</v>
      </c>
      <c r="B869" s="1">
        <v>24.0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</row>
    <row r="870">
      <c r="A870" s="1" t="s">
        <v>882</v>
      </c>
      <c r="B870" s="1">
        <v>36.0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</row>
    <row r="871">
      <c r="A871" s="1" t="s">
        <v>883</v>
      </c>
      <c r="B871" s="1">
        <v>186.0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</row>
    <row r="872">
      <c r="A872" s="1" t="s">
        <v>884</v>
      </c>
      <c r="B872" s="1">
        <v>55.0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</row>
    <row r="873">
      <c r="A873" s="1" t="s">
        <v>885</v>
      </c>
      <c r="B873" s="1">
        <v>30.0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</row>
    <row r="874">
      <c r="A874" s="1" t="s">
        <v>886</v>
      </c>
      <c r="B874" s="1">
        <v>108.0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</row>
    <row r="875">
      <c r="A875" s="1" t="s">
        <v>887</v>
      </c>
      <c r="B875" s="1">
        <v>21.0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</row>
    <row r="876">
      <c r="A876" s="1" t="s">
        <v>888</v>
      </c>
      <c r="B876" s="1">
        <v>26.0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</row>
    <row r="877">
      <c r="A877" s="1" t="s">
        <v>889</v>
      </c>
      <c r="B877" s="1">
        <v>45.0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</row>
    <row r="878">
      <c r="A878" s="1" t="s">
        <v>890</v>
      </c>
      <c r="B878" s="1">
        <v>10.0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</row>
    <row r="879">
      <c r="A879" s="1" t="s">
        <v>891</v>
      </c>
      <c r="B879" s="1">
        <v>14.0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</row>
    <row r="880">
      <c r="A880" s="1" t="s">
        <v>892</v>
      </c>
      <c r="B880" s="1">
        <v>21.0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</row>
    <row r="881">
      <c r="A881" s="1" t="s">
        <v>893</v>
      </c>
      <c r="B881" s="1">
        <v>120.0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</row>
    <row r="882">
      <c r="A882" s="1" t="s">
        <v>894</v>
      </c>
      <c r="B882" s="1">
        <v>29.0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</row>
    <row r="883">
      <c r="A883" s="1" t="s">
        <v>895</v>
      </c>
      <c r="B883" s="1">
        <v>19.0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</row>
    <row r="884">
      <c r="A884" s="1" t="s">
        <v>896</v>
      </c>
      <c r="B884" s="1">
        <v>35.0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</row>
    <row r="885">
      <c r="A885" s="1" t="s">
        <v>897</v>
      </c>
      <c r="B885" s="1">
        <v>40.0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</row>
    <row r="886">
      <c r="A886" s="1" t="s">
        <v>898</v>
      </c>
      <c r="B886" s="1">
        <v>28.0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</row>
    <row r="887">
      <c r="A887" s="1" t="s">
        <v>899</v>
      </c>
      <c r="B887" s="1">
        <v>65.0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</row>
    <row r="888">
      <c r="A888" s="1" t="s">
        <v>900</v>
      </c>
      <c r="B888" s="1">
        <v>43.0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</row>
    <row r="889">
      <c r="A889" s="1" t="s">
        <v>901</v>
      </c>
      <c r="B889" s="1">
        <v>88.0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</row>
    <row r="890">
      <c r="A890" s="1" t="s">
        <v>902</v>
      </c>
      <c r="B890" s="1">
        <v>83.0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</row>
    <row r="891">
      <c r="A891" s="1" t="s">
        <v>903</v>
      </c>
      <c r="B891" s="1">
        <v>9.0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</row>
    <row r="892">
      <c r="A892" s="1" t="s">
        <v>904</v>
      </c>
      <c r="B892" s="1">
        <v>29.0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</row>
    <row r="893">
      <c r="A893" s="1" t="s">
        <v>905</v>
      </c>
      <c r="B893" s="1">
        <v>34.0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</row>
    <row r="894">
      <c r="A894" s="1" t="s">
        <v>906</v>
      </c>
      <c r="B894" s="1">
        <v>6.0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</row>
    <row r="895">
      <c r="A895" s="1" t="s">
        <v>907</v>
      </c>
      <c r="B895" s="1">
        <v>43.0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</row>
    <row r="896">
      <c r="A896" s="1" t="s">
        <v>908</v>
      </c>
      <c r="B896" s="1">
        <v>24.0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</row>
    <row r="897">
      <c r="A897" s="1" t="s">
        <v>909</v>
      </c>
      <c r="B897" s="1">
        <v>20.0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</row>
    <row r="898">
      <c r="A898" s="1" t="s">
        <v>910</v>
      </c>
      <c r="B898" s="1">
        <v>22.0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</row>
    <row r="899">
      <c r="A899" s="1" t="s">
        <v>911</v>
      </c>
      <c r="B899" s="1">
        <v>34.0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</row>
    <row r="900">
      <c r="A900" s="1" t="s">
        <v>912</v>
      </c>
      <c r="B900" s="1">
        <v>105.0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</row>
    <row r="901">
      <c r="A901" s="1" t="s">
        <v>913</v>
      </c>
      <c r="B901" s="1">
        <v>8.0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</row>
    <row r="902">
      <c r="A902" s="1" t="s">
        <v>914</v>
      </c>
      <c r="B902" s="1">
        <v>5.0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</row>
    <row r="903">
      <c r="A903" s="1" t="s">
        <v>915</v>
      </c>
      <c r="B903" s="1">
        <v>149.0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</row>
    <row r="904">
      <c r="A904" s="1" t="s">
        <v>916</v>
      </c>
      <c r="B904" s="1">
        <v>17.0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</row>
    <row r="905">
      <c r="A905" s="1" t="s">
        <v>917</v>
      </c>
      <c r="B905" s="1">
        <v>30.0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</row>
    <row r="906">
      <c r="A906" s="1" t="s">
        <v>918</v>
      </c>
      <c r="B906" s="1">
        <v>61.0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</row>
    <row r="907">
      <c r="A907" s="1" t="s">
        <v>919</v>
      </c>
      <c r="B907" s="1">
        <v>37.0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</row>
    <row r="908">
      <c r="A908" s="1" t="s">
        <v>920</v>
      </c>
      <c r="B908" s="1">
        <v>33.0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</row>
    <row r="909">
      <c r="A909" s="1" t="s">
        <v>921</v>
      </c>
      <c r="B909" s="1">
        <v>26.0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</row>
    <row r="910">
      <c r="A910" s="1" t="s">
        <v>922</v>
      </c>
      <c r="B910" s="1">
        <v>15.0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</row>
    <row r="911">
      <c r="A911" s="1" t="s">
        <v>923</v>
      </c>
      <c r="B911" s="1">
        <v>10.0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</row>
    <row r="912">
      <c r="A912" s="1" t="s">
        <v>924</v>
      </c>
      <c r="B912" s="1">
        <v>23.0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</row>
    <row r="913">
      <c r="A913" s="1" t="s">
        <v>925</v>
      </c>
      <c r="B913" s="1">
        <v>35.0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</row>
    <row r="914">
      <c r="A914" s="1" t="s">
        <v>926</v>
      </c>
      <c r="B914" s="1">
        <v>6.0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</row>
    <row r="915">
      <c r="A915" s="1" t="s">
        <v>927</v>
      </c>
      <c r="B915" s="1">
        <v>64.0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</row>
    <row r="916">
      <c r="A916" s="1" t="s">
        <v>928</v>
      </c>
      <c r="B916" s="1">
        <v>22.0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</row>
    <row r="917">
      <c r="A917" s="1" t="s">
        <v>929</v>
      </c>
      <c r="B917" s="1">
        <v>38.0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</row>
    <row r="918">
      <c r="A918" s="1" t="s">
        <v>930</v>
      </c>
      <c r="B918" s="1">
        <v>36.0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</row>
    <row r="919">
      <c r="A919" s="1" t="s">
        <v>931</v>
      </c>
      <c r="B919" s="1">
        <v>21.0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</row>
    <row r="920">
      <c r="A920" s="1" t="s">
        <v>932</v>
      </c>
      <c r="B920" s="1">
        <v>25.0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</row>
    <row r="921">
      <c r="A921" s="1" t="s">
        <v>933</v>
      </c>
      <c r="B921" s="1">
        <v>36.0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</row>
    <row r="922">
      <c r="A922" s="1" t="s">
        <v>934</v>
      </c>
      <c r="B922" s="1">
        <v>36.0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</row>
    <row r="923">
      <c r="A923" s="1" t="s">
        <v>935</v>
      </c>
      <c r="B923" s="1">
        <v>31.0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</row>
    <row r="924">
      <c r="A924" s="1" t="s">
        <v>936</v>
      </c>
      <c r="B924" s="1">
        <v>87.0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</row>
    <row r="925">
      <c r="A925" s="1" t="s">
        <v>937</v>
      </c>
      <c r="B925" s="1">
        <v>35.0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</row>
    <row r="926">
      <c r="A926" s="1" t="s">
        <v>938</v>
      </c>
      <c r="B926" s="1">
        <v>24.0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</row>
    <row r="927">
      <c r="A927" s="1" t="s">
        <v>939</v>
      </c>
      <c r="B927" s="1">
        <v>25.0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</row>
    <row r="928">
      <c r="A928" s="1" t="s">
        <v>940</v>
      </c>
      <c r="B928" s="1">
        <v>37.0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</row>
    <row r="929">
      <c r="A929" s="1" t="s">
        <v>941</v>
      </c>
      <c r="B929" s="1">
        <v>40.0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</row>
    <row r="930">
      <c r="A930" s="1" t="s">
        <v>942</v>
      </c>
      <c r="B930" s="1">
        <v>48.0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</row>
    <row r="931">
      <c r="A931" s="1" t="s">
        <v>943</v>
      </c>
      <c r="B931" s="1">
        <v>108.0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</row>
    <row r="932">
      <c r="A932" s="1" t="s">
        <v>944</v>
      </c>
      <c r="B932" s="1">
        <v>100.0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</row>
    <row r="933">
      <c r="A933" s="1" t="s">
        <v>945</v>
      </c>
      <c r="B933" s="1">
        <v>25.0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</row>
    <row r="934">
      <c r="A934" s="1" t="s">
        <v>946</v>
      </c>
      <c r="B934" s="1">
        <v>28.0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</row>
    <row r="935">
      <c r="A935" s="1" t="s">
        <v>947</v>
      </c>
      <c r="B935" s="1">
        <v>196.0</v>
      </c>
      <c r="C935" s="1">
        <v>1.0</v>
      </c>
      <c r="D935" s="1">
        <v>0.0</v>
      </c>
      <c r="E935" s="1">
        <v>0.0</v>
      </c>
      <c r="F935" s="1">
        <v>0.0</v>
      </c>
      <c r="G935" s="1">
        <v>1.0</v>
      </c>
    </row>
    <row r="936">
      <c r="A936" s="1" t="s">
        <v>948</v>
      </c>
      <c r="B936" s="1">
        <v>24.0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</row>
    <row r="937">
      <c r="A937" s="1" t="s">
        <v>949</v>
      </c>
      <c r="B937" s="1">
        <v>28.0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</row>
    <row r="938">
      <c r="A938" s="1" t="s">
        <v>950</v>
      </c>
      <c r="B938" s="1">
        <v>15.0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</row>
    <row r="939">
      <c r="A939" s="1" t="s">
        <v>951</v>
      </c>
      <c r="B939" s="1">
        <v>20.0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</row>
    <row r="940">
      <c r="A940" s="1" t="s">
        <v>952</v>
      </c>
      <c r="B940" s="1">
        <v>17.0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</row>
    <row r="941">
      <c r="A941" s="1" t="s">
        <v>953</v>
      </c>
      <c r="B941" s="1">
        <v>27.0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</row>
    <row r="942">
      <c r="A942" s="1" t="s">
        <v>954</v>
      </c>
      <c r="B942" s="1">
        <v>110.0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</row>
    <row r="943">
      <c r="A943" s="1" t="s">
        <v>955</v>
      </c>
      <c r="B943" s="1">
        <v>10.0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</row>
    <row r="944">
      <c r="A944" s="1" t="s">
        <v>956</v>
      </c>
      <c r="B944" s="1">
        <v>8.0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</row>
    <row r="945">
      <c r="A945" s="1" t="s">
        <v>957</v>
      </c>
      <c r="B945" s="1">
        <v>11.0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</row>
    <row r="946">
      <c r="A946" s="1" t="s">
        <v>958</v>
      </c>
      <c r="B946" s="1">
        <v>37.0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</row>
    <row r="947">
      <c r="A947" s="1" t="s">
        <v>959</v>
      </c>
      <c r="B947" s="1">
        <v>36.0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</row>
    <row r="948">
      <c r="A948" s="1" t="s">
        <v>960</v>
      </c>
      <c r="B948" s="1">
        <v>8.0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</row>
    <row r="949">
      <c r="A949" s="1" t="s">
        <v>961</v>
      </c>
      <c r="B949" s="1">
        <v>33.0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</row>
    <row r="950">
      <c r="A950" s="1" t="s">
        <v>962</v>
      </c>
      <c r="B950" s="1">
        <v>49.0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</row>
    <row r="951">
      <c r="A951" s="1" t="s">
        <v>963</v>
      </c>
      <c r="B951" s="1">
        <v>14.0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</row>
    <row r="952">
      <c r="A952" s="1" t="s">
        <v>964</v>
      </c>
      <c r="B952" s="1">
        <v>36.0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</row>
    <row r="953">
      <c r="A953" s="1" t="s">
        <v>965</v>
      </c>
      <c r="B953" s="1">
        <v>8.0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</row>
    <row r="954">
      <c r="A954" s="1" t="s">
        <v>966</v>
      </c>
      <c r="B954" s="1">
        <v>68.0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</row>
    <row r="955">
      <c r="A955" s="1" t="s">
        <v>967</v>
      </c>
      <c r="B955" s="1">
        <v>54.0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</row>
    <row r="956">
      <c r="A956" s="1" t="s">
        <v>968</v>
      </c>
      <c r="B956" s="1">
        <v>4.0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</row>
    <row r="957">
      <c r="A957" s="1" t="s">
        <v>969</v>
      </c>
      <c r="B957" s="1">
        <v>50.0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</row>
    <row r="958">
      <c r="A958" s="1" t="s">
        <v>970</v>
      </c>
      <c r="B958" s="1">
        <v>34.0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</row>
    <row r="959">
      <c r="A959" s="1" t="s">
        <v>971</v>
      </c>
      <c r="B959" s="1">
        <v>5.0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</row>
    <row r="960">
      <c r="A960" s="1" t="s">
        <v>972</v>
      </c>
      <c r="B960" s="1">
        <v>284.0</v>
      </c>
      <c r="C960" s="1">
        <v>1.0</v>
      </c>
      <c r="D960" s="1">
        <v>0.0</v>
      </c>
      <c r="E960" s="1">
        <v>0.0</v>
      </c>
      <c r="F960" s="1">
        <v>0.0</v>
      </c>
      <c r="G960" s="1">
        <v>0.0</v>
      </c>
    </row>
    <row r="961">
      <c r="A961" s="1" t="s">
        <v>973</v>
      </c>
      <c r="B961" s="1">
        <v>51.0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</row>
    <row r="962">
      <c r="A962" s="1" t="s">
        <v>974</v>
      </c>
      <c r="B962" s="1">
        <v>18.0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</row>
    <row r="963">
      <c r="A963" s="1" t="s">
        <v>975</v>
      </c>
      <c r="B963" s="1">
        <v>10.0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</row>
    <row r="964">
      <c r="A964" s="1" t="s">
        <v>976</v>
      </c>
      <c r="B964" s="1">
        <v>633.0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</row>
    <row r="965">
      <c r="A965" s="1" t="s">
        <v>977</v>
      </c>
      <c r="B965" s="1">
        <v>36.0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</row>
    <row r="966">
      <c r="A966" s="1" t="s">
        <v>978</v>
      </c>
      <c r="B966" s="1">
        <v>418.0</v>
      </c>
      <c r="C966" s="1">
        <v>3.0</v>
      </c>
      <c r="D966" s="1">
        <v>0.0</v>
      </c>
      <c r="E966" s="1">
        <v>0.0</v>
      </c>
      <c r="F966" s="1">
        <v>0.0</v>
      </c>
      <c r="G966" s="1">
        <v>1.0</v>
      </c>
    </row>
    <row r="967">
      <c r="A967" s="1" t="s">
        <v>979</v>
      </c>
      <c r="B967" s="1">
        <v>22.0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</row>
    <row r="968">
      <c r="A968" s="1" t="s">
        <v>980</v>
      </c>
      <c r="B968" s="1">
        <v>37.0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</row>
    <row r="969">
      <c r="A969" s="1" t="s">
        <v>981</v>
      </c>
      <c r="B969" s="1">
        <v>22.0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</row>
    <row r="970">
      <c r="A970" s="1" t="s">
        <v>982</v>
      </c>
      <c r="B970" s="1">
        <v>44.0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</row>
    <row r="971">
      <c r="A971" s="1" t="s">
        <v>983</v>
      </c>
      <c r="B971" s="1">
        <v>327.0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</row>
    <row r="972">
      <c r="A972" s="1" t="s">
        <v>984</v>
      </c>
      <c r="B972" s="1">
        <v>87.0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</row>
    <row r="973">
      <c r="A973" s="1" t="s">
        <v>985</v>
      </c>
      <c r="B973" s="1">
        <v>20.0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</row>
    <row r="974">
      <c r="A974" s="1" t="s">
        <v>986</v>
      </c>
      <c r="B974" s="1">
        <v>50.0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</row>
    <row r="975">
      <c r="A975" s="1" t="s">
        <v>987</v>
      </c>
      <c r="B975" s="1">
        <v>40.0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</row>
    <row r="976">
      <c r="A976" s="1" t="s">
        <v>988</v>
      </c>
      <c r="B976" s="1">
        <v>165.0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</row>
    <row r="977">
      <c r="A977" s="1" t="s">
        <v>989</v>
      </c>
      <c r="B977" s="1">
        <v>9.0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</row>
    <row r="978">
      <c r="A978" s="1" t="s">
        <v>990</v>
      </c>
      <c r="B978" s="1">
        <v>163.0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</row>
    <row r="979">
      <c r="A979" s="1" t="s">
        <v>991</v>
      </c>
      <c r="B979" s="1">
        <v>24.0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</row>
    <row r="980">
      <c r="A980" s="1" t="s">
        <v>992</v>
      </c>
      <c r="B980" s="1">
        <v>51.0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</row>
    <row r="981">
      <c r="A981" s="1" t="s">
        <v>993</v>
      </c>
      <c r="B981" s="1">
        <v>72.0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</row>
    <row r="982">
      <c r="A982" s="1" t="s">
        <v>994</v>
      </c>
      <c r="B982" s="1">
        <v>49.0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</row>
    <row r="983">
      <c r="A983" s="1" t="s">
        <v>995</v>
      </c>
      <c r="B983" s="1">
        <v>21.0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</row>
    <row r="984">
      <c r="A984" s="1" t="s">
        <v>996</v>
      </c>
      <c r="B984" s="1">
        <v>26.0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</row>
    <row r="985">
      <c r="A985" s="1" t="s">
        <v>997</v>
      </c>
      <c r="B985" s="1">
        <v>60.0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</row>
    <row r="986">
      <c r="A986" s="1" t="s">
        <v>998</v>
      </c>
      <c r="B986" s="1">
        <v>17.0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</row>
    <row r="987">
      <c r="A987" s="1" t="s">
        <v>999</v>
      </c>
      <c r="B987" s="1">
        <v>120.0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</row>
    <row r="988">
      <c r="A988" s="1" t="s">
        <v>1000</v>
      </c>
      <c r="B988" s="1">
        <v>48.0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</row>
    <row r="989">
      <c r="A989" s="1" t="s">
        <v>1001</v>
      </c>
      <c r="B989" s="1">
        <v>44.0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</row>
    <row r="990">
      <c r="A990" s="1" t="s">
        <v>1002</v>
      </c>
      <c r="B990" s="1">
        <v>12.0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</row>
    <row r="991">
      <c r="A991" s="1" t="s">
        <v>1003</v>
      </c>
      <c r="B991" s="1">
        <v>38.0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</row>
    <row r="992">
      <c r="A992" s="1" t="s">
        <v>1004</v>
      </c>
      <c r="B992" s="1">
        <v>63.0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</row>
    <row r="993">
      <c r="A993" s="1" t="s">
        <v>1005</v>
      </c>
      <c r="B993" s="1">
        <v>7.0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</row>
    <row r="994">
      <c r="A994" s="1" t="s">
        <v>1006</v>
      </c>
      <c r="B994" s="1">
        <v>103.0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</row>
    <row r="995">
      <c r="A995" s="1" t="s">
        <v>1007</v>
      </c>
      <c r="B995" s="1">
        <v>16.0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</row>
    <row r="996">
      <c r="A996" s="1" t="s">
        <v>1008</v>
      </c>
      <c r="B996" s="1">
        <v>55.0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</row>
    <row r="997">
      <c r="A997" s="1" t="s">
        <v>1009</v>
      </c>
      <c r="B997" s="1">
        <v>39.0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</row>
    <row r="998">
      <c r="A998" s="1" t="s">
        <v>1010</v>
      </c>
      <c r="B998" s="1">
        <v>50.0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</row>
    <row r="999">
      <c r="A999" s="1" t="s">
        <v>1011</v>
      </c>
      <c r="B999" s="1">
        <v>24.0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</row>
    <row r="1000">
      <c r="A1000" s="1" t="s">
        <v>1012</v>
      </c>
      <c r="B1000" s="1">
        <v>45.0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</row>
    <row r="1001">
      <c r="A1001" s="1" t="s">
        <v>1013</v>
      </c>
      <c r="B1001" s="1">
        <v>9.0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</row>
    <row r="1002">
      <c r="A1002" s="1" t="s">
        <v>1014</v>
      </c>
      <c r="B1002" s="1">
        <v>13.0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</row>
    <row r="1003">
      <c r="A1003" s="1" t="s">
        <v>1015</v>
      </c>
      <c r="B1003" s="1">
        <v>27.0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</row>
    <row r="1004">
      <c r="A1004" s="1" t="s">
        <v>1016</v>
      </c>
      <c r="B1004" s="1">
        <v>47.0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</row>
    <row r="1005">
      <c r="A1005" s="1" t="s">
        <v>1017</v>
      </c>
      <c r="B1005" s="1">
        <v>13.0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</row>
    <row r="1006">
      <c r="A1006" s="1" t="s">
        <v>1018</v>
      </c>
      <c r="B1006" s="1">
        <v>15.0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</row>
    <row r="1007">
      <c r="A1007" s="1" t="s">
        <v>1019</v>
      </c>
      <c r="B1007" s="1">
        <v>42.0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</row>
    <row r="1008">
      <c r="A1008" s="1" t="s">
        <v>1020</v>
      </c>
      <c r="B1008" s="1">
        <v>33.0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</row>
    <row r="1009">
      <c r="A1009" s="1" t="s">
        <v>1021</v>
      </c>
      <c r="B1009" s="1">
        <v>22.0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</row>
    <row r="1010">
      <c r="A1010" s="1" t="s">
        <v>1022</v>
      </c>
      <c r="B1010" s="1">
        <v>87.0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</row>
    <row r="1011">
      <c r="A1011" s="1" t="s">
        <v>1023</v>
      </c>
      <c r="B1011" s="1">
        <v>89.0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</row>
    <row r="1012">
      <c r="A1012" s="1" t="s">
        <v>1024</v>
      </c>
      <c r="B1012" s="1">
        <v>56.0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</row>
    <row r="1013">
      <c r="A1013" s="1" t="s">
        <v>1025</v>
      </c>
      <c r="B1013" s="1">
        <v>85.0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</row>
    <row r="1014">
      <c r="A1014" s="1" t="s">
        <v>1026</v>
      </c>
      <c r="B1014" s="1">
        <v>155.0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</row>
    <row r="1015">
      <c r="A1015" s="1" t="s">
        <v>1027</v>
      </c>
      <c r="B1015" s="1">
        <v>34.0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</row>
    <row r="1016">
      <c r="A1016" s="1" t="s">
        <v>1028</v>
      </c>
      <c r="B1016" s="1">
        <v>20.0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</row>
    <row r="1017">
      <c r="A1017" s="1" t="s">
        <v>1029</v>
      </c>
      <c r="B1017" s="1">
        <v>4.0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</row>
    <row r="1018">
      <c r="A1018" s="1" t="s">
        <v>1030</v>
      </c>
      <c r="B1018" s="1">
        <v>10.0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</row>
    <row r="1019">
      <c r="A1019" s="1" t="s">
        <v>1031</v>
      </c>
      <c r="B1019" s="1">
        <v>187.0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</row>
    <row r="1020">
      <c r="A1020" s="1" t="s">
        <v>1032</v>
      </c>
      <c r="B1020" s="1">
        <v>94.0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</row>
    <row r="1021">
      <c r="A1021" s="1" t="s">
        <v>1033</v>
      </c>
      <c r="B1021" s="1">
        <v>27.0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</row>
    <row r="1022">
      <c r="A1022" s="1" t="s">
        <v>1034</v>
      </c>
      <c r="B1022" s="1">
        <v>15.0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</row>
    <row r="1023">
      <c r="A1023" s="1" t="s">
        <v>1035</v>
      </c>
      <c r="B1023" s="1">
        <v>10.0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</row>
    <row r="1024">
      <c r="A1024" s="1" t="s">
        <v>1036</v>
      </c>
      <c r="B1024" s="1">
        <v>23.0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</row>
    <row r="1025">
      <c r="A1025" s="1" t="s">
        <v>1037</v>
      </c>
      <c r="B1025" s="1">
        <v>51.0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</row>
    <row r="1026">
      <c r="A1026" s="1" t="s">
        <v>1038</v>
      </c>
      <c r="B1026" s="1">
        <v>11.0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</row>
    <row r="1027">
      <c r="A1027" s="1" t="s">
        <v>1039</v>
      </c>
      <c r="B1027" s="1">
        <v>5.0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</row>
    <row r="1028">
      <c r="A1028" s="1" t="s">
        <v>1040</v>
      </c>
      <c r="B1028" s="1">
        <v>61.0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</row>
    <row r="1029">
      <c r="A1029" s="1" t="s">
        <v>1041</v>
      </c>
      <c r="B1029" s="1">
        <v>30.0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</row>
    <row r="1030">
      <c r="A1030" s="1" t="s">
        <v>1042</v>
      </c>
      <c r="B1030" s="1">
        <v>31.0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</row>
    <row r="1031">
      <c r="A1031" s="1" t="s">
        <v>1043</v>
      </c>
      <c r="B1031" s="1">
        <v>25.0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</row>
    <row r="1032">
      <c r="A1032" s="1" t="s">
        <v>1044</v>
      </c>
      <c r="B1032" s="1">
        <v>11.0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</row>
    <row r="1033">
      <c r="A1033" s="1" t="s">
        <v>1045</v>
      </c>
      <c r="B1033" s="1">
        <v>32.0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</row>
    <row r="1034">
      <c r="A1034" s="1" t="s">
        <v>1046</v>
      </c>
      <c r="B1034" s="1">
        <v>10.0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</row>
    <row r="1035">
      <c r="A1035" s="1" t="s">
        <v>1047</v>
      </c>
      <c r="B1035" s="1">
        <v>26.0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</row>
    <row r="1036">
      <c r="A1036" s="1" t="s">
        <v>1048</v>
      </c>
      <c r="B1036" s="1">
        <v>8.0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</row>
    <row r="1037">
      <c r="A1037" s="1" t="s">
        <v>1049</v>
      </c>
      <c r="B1037" s="1">
        <v>81.0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</row>
    <row r="1038">
      <c r="A1038" s="1" t="s">
        <v>1050</v>
      </c>
      <c r="B1038" s="1">
        <v>39.0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</row>
    <row r="1039">
      <c r="A1039" s="1" t="s">
        <v>1051</v>
      </c>
      <c r="B1039" s="1">
        <v>28.0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</row>
    <row r="1040">
      <c r="A1040" s="1" t="s">
        <v>1052</v>
      </c>
      <c r="B1040" s="1">
        <v>38.0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</row>
    <row r="1041">
      <c r="A1041" s="1" t="s">
        <v>1053</v>
      </c>
      <c r="B1041" s="1">
        <v>88.0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</row>
    <row r="1042">
      <c r="A1042" s="1" t="s">
        <v>1054</v>
      </c>
      <c r="B1042" s="1">
        <v>295.0</v>
      </c>
      <c r="C1042" s="1">
        <v>3.0</v>
      </c>
      <c r="D1042" s="1">
        <v>0.0</v>
      </c>
      <c r="E1042" s="1">
        <v>0.0</v>
      </c>
      <c r="F1042" s="1">
        <v>0.0</v>
      </c>
      <c r="G1042" s="1">
        <v>0.0</v>
      </c>
    </row>
    <row r="1043">
      <c r="A1043" s="1" t="s">
        <v>1055</v>
      </c>
      <c r="B1043" s="1">
        <v>7.0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</row>
    <row r="1044">
      <c r="A1044" s="1" t="s">
        <v>1056</v>
      </c>
      <c r="B1044" s="1">
        <v>21.0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</row>
    <row r="1045">
      <c r="A1045" s="1" t="s">
        <v>1057</v>
      </c>
      <c r="B1045" s="1">
        <v>24.0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</row>
    <row r="1046">
      <c r="A1046" s="1" t="s">
        <v>1058</v>
      </c>
      <c r="B1046" s="1">
        <v>34.0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</row>
    <row r="1047">
      <c r="A1047" s="1" t="s">
        <v>1059</v>
      </c>
      <c r="B1047" s="1">
        <v>165.0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</row>
    <row r="1048">
      <c r="A1048" s="1" t="s">
        <v>1060</v>
      </c>
      <c r="B1048" s="1">
        <v>94.0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</row>
    <row r="1049">
      <c r="A1049" s="1" t="s">
        <v>1061</v>
      </c>
      <c r="B1049" s="1">
        <v>53.0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</row>
    <row r="1050">
      <c r="A1050" s="1" t="s">
        <v>1062</v>
      </c>
      <c r="B1050" s="1">
        <v>83.0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</row>
    <row r="1051">
      <c r="A1051" s="1" t="s">
        <v>1063</v>
      </c>
      <c r="B1051" s="1">
        <v>23.0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</row>
    <row r="1052">
      <c r="A1052" s="1" t="s">
        <v>1064</v>
      </c>
      <c r="B1052" s="1">
        <v>72.0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</row>
    <row r="1053">
      <c r="A1053" s="1" t="s">
        <v>1065</v>
      </c>
      <c r="B1053" s="1">
        <v>26.0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</row>
    <row r="1054">
      <c r="A1054" s="1" t="s">
        <v>1066</v>
      </c>
      <c r="B1054" s="1">
        <v>4.0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</row>
    <row r="1055">
      <c r="A1055" s="1" t="s">
        <v>1067</v>
      </c>
      <c r="B1055" s="1">
        <v>10.0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</row>
    <row r="1056">
      <c r="A1056" s="1" t="s">
        <v>1068</v>
      </c>
      <c r="B1056" s="1">
        <v>48.0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</row>
    <row r="1057">
      <c r="A1057" s="1" t="s">
        <v>1069</v>
      </c>
      <c r="B1057" s="1">
        <v>39.0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</row>
    <row r="1058">
      <c r="A1058" s="1" t="s">
        <v>1070</v>
      </c>
      <c r="B1058" s="1">
        <v>8002.0</v>
      </c>
      <c r="C1058" s="1">
        <v>2628.0</v>
      </c>
      <c r="D1058" s="1">
        <v>6.0</v>
      </c>
      <c r="E1058" s="1">
        <v>33.0</v>
      </c>
      <c r="F1058" s="1">
        <v>5.0</v>
      </c>
      <c r="G1058" s="1">
        <v>175.0</v>
      </c>
    </row>
    <row r="1059">
      <c r="A1059" s="1" t="s">
        <v>1071</v>
      </c>
      <c r="B1059" s="1">
        <v>27.0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</row>
    <row r="1060">
      <c r="A1060" s="1" t="s">
        <v>1072</v>
      </c>
      <c r="B1060" s="1">
        <v>18.0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</row>
    <row r="1061">
      <c r="A1061" s="1" t="s">
        <v>1073</v>
      </c>
      <c r="B1061" s="1">
        <v>33.0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</row>
    <row r="1062">
      <c r="A1062" s="1" t="s">
        <v>1074</v>
      </c>
      <c r="B1062" s="1">
        <v>111.0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</row>
    <row r="1063">
      <c r="A1063" s="1" t="s">
        <v>1075</v>
      </c>
      <c r="B1063" s="1">
        <v>78.0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</row>
    <row r="1064">
      <c r="A1064" s="1" t="s">
        <v>1076</v>
      </c>
      <c r="B1064" s="1">
        <v>8.0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</row>
    <row r="1065">
      <c r="A1065" s="1" t="s">
        <v>1077</v>
      </c>
      <c r="B1065" s="1">
        <v>83.0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</row>
    <row r="1066">
      <c r="A1066" s="1" t="s">
        <v>1078</v>
      </c>
      <c r="B1066" s="1">
        <v>196.0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</row>
    <row r="1067">
      <c r="A1067" s="1" t="s">
        <v>1079</v>
      </c>
      <c r="B1067" s="1">
        <v>141.0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</row>
    <row r="1068">
      <c r="A1068" s="1" t="s">
        <v>1080</v>
      </c>
      <c r="B1068" s="1">
        <v>11.0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</row>
    <row r="1069">
      <c r="A1069" s="1" t="s">
        <v>1081</v>
      </c>
      <c r="B1069" s="1">
        <v>22.0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</row>
    <row r="1070">
      <c r="A1070" s="1" t="s">
        <v>1082</v>
      </c>
      <c r="B1070" s="1">
        <v>35.0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</row>
    <row r="1071">
      <c r="A1071" s="1" t="s">
        <v>1083</v>
      </c>
      <c r="B1071" s="1">
        <v>135.0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</row>
    <row r="1072">
      <c r="A1072" s="1" t="s">
        <v>1084</v>
      </c>
      <c r="B1072" s="1">
        <v>26.0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</row>
    <row r="1073">
      <c r="A1073" s="1" t="s">
        <v>1085</v>
      </c>
      <c r="B1073" s="1">
        <v>244.0</v>
      </c>
      <c r="C1073" s="1">
        <v>1.0</v>
      </c>
      <c r="D1073" s="1">
        <v>0.0</v>
      </c>
      <c r="E1073" s="1">
        <v>0.0</v>
      </c>
      <c r="F1073" s="1">
        <v>0.0</v>
      </c>
      <c r="G1073" s="1">
        <v>1.0</v>
      </c>
    </row>
    <row r="1074">
      <c r="A1074" s="1" t="s">
        <v>1086</v>
      </c>
      <c r="B1074" s="1">
        <v>35.0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</row>
    <row r="1075">
      <c r="A1075" s="1" t="s">
        <v>1087</v>
      </c>
      <c r="B1075" s="1">
        <v>38.0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</row>
    <row r="1076">
      <c r="A1076" s="1" t="s">
        <v>1088</v>
      </c>
      <c r="B1076" s="1">
        <v>40.0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</row>
    <row r="1077">
      <c r="A1077" s="1" t="s">
        <v>1089</v>
      </c>
      <c r="B1077" s="1">
        <v>99.0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</row>
    <row r="1078">
      <c r="A1078" s="1" t="s">
        <v>1090</v>
      </c>
      <c r="B1078" s="1">
        <v>8.0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</row>
    <row r="1079">
      <c r="A1079" s="1" t="s">
        <v>1091</v>
      </c>
      <c r="B1079" s="1">
        <v>35.0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</row>
    <row r="1080">
      <c r="A1080" s="1" t="s">
        <v>1092</v>
      </c>
      <c r="B1080" s="1">
        <v>29.0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</row>
    <row r="1081">
      <c r="A1081" s="1" t="s">
        <v>1093</v>
      </c>
      <c r="B1081" s="1">
        <v>177.0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</row>
    <row r="1082">
      <c r="A1082" s="1" t="s">
        <v>1094</v>
      </c>
      <c r="B1082" s="1">
        <v>31.0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</row>
    <row r="1083">
      <c r="A1083" s="1" t="s">
        <v>1095</v>
      </c>
      <c r="B1083" s="1">
        <v>59.0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</row>
    <row r="1084">
      <c r="A1084" s="1" t="s">
        <v>1096</v>
      </c>
      <c r="B1084" s="1">
        <v>16.0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</row>
    <row r="1085">
      <c r="A1085" s="1" t="s">
        <v>1097</v>
      </c>
      <c r="B1085" s="1">
        <v>16.0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</row>
    <row r="1086">
      <c r="A1086" s="1" t="s">
        <v>1098</v>
      </c>
      <c r="B1086" s="1">
        <v>14.0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</row>
    <row r="1087">
      <c r="A1087" s="1" t="s">
        <v>1099</v>
      </c>
      <c r="B1087" s="1">
        <v>6.0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</row>
    <row r="1088">
      <c r="A1088" s="1" t="s">
        <v>1100</v>
      </c>
      <c r="B1088" s="1">
        <v>93.0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</row>
    <row r="1089">
      <c r="A1089" s="1" t="s">
        <v>1101</v>
      </c>
      <c r="B1089" s="1">
        <v>73.0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</row>
    <row r="1090">
      <c r="A1090" s="1" t="s">
        <v>1102</v>
      </c>
      <c r="B1090" s="1">
        <v>29.0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</row>
    <row r="1091">
      <c r="A1091" s="1" t="s">
        <v>1103</v>
      </c>
      <c r="B1091" s="1">
        <v>21.0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</row>
    <row r="1092">
      <c r="A1092" s="1" t="s">
        <v>1104</v>
      </c>
      <c r="B1092" s="1">
        <v>22.0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</row>
    <row r="1093">
      <c r="A1093" s="1" t="s">
        <v>1105</v>
      </c>
      <c r="B1093" s="1">
        <v>35.0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</row>
    <row r="1094">
      <c r="A1094" s="1" t="s">
        <v>1106</v>
      </c>
      <c r="B1094" s="1">
        <v>37.0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</row>
    <row r="1095">
      <c r="A1095" s="1" t="s">
        <v>1107</v>
      </c>
      <c r="B1095" s="1">
        <v>49.0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</row>
    <row r="1096">
      <c r="A1096" s="1" t="s">
        <v>1108</v>
      </c>
      <c r="B1096" s="1">
        <v>13.0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</row>
    <row r="1097">
      <c r="A1097" s="1" t="s">
        <v>1109</v>
      </c>
      <c r="B1097" s="1">
        <v>191.0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</row>
    <row r="1098">
      <c r="A1098" s="1" t="s">
        <v>1110</v>
      </c>
      <c r="B1098" s="1">
        <v>119.0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</row>
    <row r="1099">
      <c r="A1099" s="1" t="s">
        <v>1111</v>
      </c>
      <c r="B1099" s="1">
        <v>21.0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</row>
    <row r="1100">
      <c r="A1100" s="1" t="s">
        <v>1112</v>
      </c>
      <c r="B1100" s="1">
        <v>15.0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</row>
    <row r="1101">
      <c r="A1101" s="1" t="s">
        <v>1113</v>
      </c>
      <c r="B1101" s="1">
        <v>110.0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</row>
    <row r="1102">
      <c r="A1102" s="1" t="s">
        <v>1114</v>
      </c>
      <c r="B1102" s="1">
        <v>56.0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</row>
    <row r="1103">
      <c r="A1103" s="1" t="s">
        <v>1115</v>
      </c>
      <c r="B1103" s="1">
        <v>10.0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</row>
    <row r="1104">
      <c r="A1104" s="1" t="s">
        <v>1116</v>
      </c>
      <c r="B1104" s="1">
        <v>24.0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</row>
    <row r="1105">
      <c r="A1105" s="1" t="s">
        <v>1117</v>
      </c>
      <c r="B1105" s="1">
        <v>53.0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</row>
    <row r="1106">
      <c r="A1106" s="1" t="s">
        <v>1118</v>
      </c>
      <c r="B1106" s="1">
        <v>69.0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</row>
    <row r="1107">
      <c r="A1107" s="1" t="s">
        <v>1119</v>
      </c>
      <c r="B1107" s="1">
        <v>21.0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</row>
    <row r="1108">
      <c r="A1108" s="1" t="s">
        <v>1120</v>
      </c>
      <c r="B1108" s="1">
        <v>39.0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</row>
    <row r="1109">
      <c r="A1109" s="1" t="s">
        <v>1121</v>
      </c>
      <c r="B1109" s="1">
        <v>61.0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</row>
    <row r="1110">
      <c r="A1110" s="1" t="s">
        <v>1122</v>
      </c>
      <c r="B1110" s="1">
        <v>14.0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</row>
    <row r="1111">
      <c r="A1111" s="1" t="s">
        <v>1123</v>
      </c>
      <c r="B1111" s="1">
        <v>45.0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</row>
    <row r="1112">
      <c r="A1112" s="1" t="s">
        <v>1124</v>
      </c>
      <c r="B1112" s="1">
        <v>48.0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</row>
    <row r="1113">
      <c r="A1113" s="1" t="s">
        <v>1125</v>
      </c>
      <c r="B1113" s="1">
        <v>227.0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</row>
    <row r="1114">
      <c r="A1114" s="1" t="s">
        <v>1126</v>
      </c>
      <c r="B1114" s="1">
        <v>67.0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</row>
    <row r="1115">
      <c r="A1115" s="1" t="s">
        <v>1127</v>
      </c>
      <c r="B1115" s="1">
        <v>23.0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</row>
    <row r="1116">
      <c r="A1116" s="1" t="s">
        <v>1128</v>
      </c>
      <c r="B1116" s="1">
        <v>14.0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</row>
    <row r="1117">
      <c r="A1117" s="1" t="s">
        <v>1129</v>
      </c>
      <c r="B1117" s="1">
        <v>15.0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</row>
    <row r="1118">
      <c r="A1118" s="1" t="s">
        <v>1130</v>
      </c>
      <c r="B1118" s="1">
        <v>11.0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</row>
    <row r="1119">
      <c r="A1119" s="1" t="s">
        <v>1131</v>
      </c>
      <c r="B1119" s="1">
        <v>43.0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</row>
    <row r="1120">
      <c r="A1120" s="1" t="s">
        <v>1132</v>
      </c>
      <c r="B1120" s="1">
        <v>93.0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</row>
    <row r="1121">
      <c r="A1121" s="1" t="s">
        <v>1133</v>
      </c>
      <c r="B1121" s="1">
        <v>102.0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</row>
    <row r="1122">
      <c r="A1122" s="1" t="s">
        <v>1134</v>
      </c>
      <c r="B1122" s="1">
        <v>74.0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</row>
    <row r="1123">
      <c r="A1123" s="1" t="s">
        <v>1135</v>
      </c>
      <c r="B1123" s="1">
        <v>46.0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</row>
    <row r="1124">
      <c r="A1124" s="1" t="s">
        <v>1136</v>
      </c>
      <c r="B1124" s="1">
        <v>8.0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</row>
    <row r="1125">
      <c r="A1125" s="1" t="s">
        <v>1137</v>
      </c>
      <c r="B1125" s="1">
        <v>138.0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</row>
    <row r="1126">
      <c r="A1126" s="1" t="s">
        <v>1138</v>
      </c>
      <c r="B1126" s="1">
        <v>10.0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</row>
    <row r="1127">
      <c r="A1127" s="1" t="s">
        <v>1139</v>
      </c>
      <c r="B1127" s="1">
        <v>142.0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</row>
    <row r="1128">
      <c r="A1128" s="1" t="s">
        <v>1140</v>
      </c>
      <c r="B1128" s="1">
        <v>16.0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</row>
    <row r="1129">
      <c r="A1129" s="1" t="s">
        <v>1141</v>
      </c>
      <c r="B1129" s="1">
        <v>14.0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</row>
    <row r="1130">
      <c r="A1130" s="1" t="s">
        <v>1142</v>
      </c>
      <c r="B1130" s="1">
        <v>147.0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</row>
    <row r="1131">
      <c r="A1131" s="1" t="s">
        <v>1143</v>
      </c>
      <c r="B1131" s="1">
        <v>22.0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</row>
    <row r="1132">
      <c r="A1132" s="1" t="s">
        <v>1144</v>
      </c>
      <c r="B1132" s="1">
        <v>38.0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</row>
    <row r="1133">
      <c r="A1133" s="1" t="s">
        <v>1145</v>
      </c>
      <c r="B1133" s="1">
        <v>28.0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</row>
    <row r="1134">
      <c r="A1134" s="1" t="s">
        <v>1146</v>
      </c>
      <c r="B1134" s="1">
        <v>17.0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</row>
    <row r="1135">
      <c r="A1135" s="1" t="s">
        <v>1147</v>
      </c>
      <c r="B1135" s="1">
        <v>10.0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</row>
    <row r="1136">
      <c r="A1136" s="1" t="s">
        <v>1148</v>
      </c>
      <c r="B1136" s="1">
        <v>56.0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</row>
    <row r="1137">
      <c r="A1137" s="1" t="s">
        <v>1149</v>
      </c>
      <c r="B1137" s="1">
        <v>47.0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</row>
    <row r="1138">
      <c r="A1138" s="1" t="s">
        <v>1150</v>
      </c>
      <c r="B1138" s="1">
        <v>23.0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</row>
    <row r="1139">
      <c r="A1139" s="1" t="s">
        <v>1151</v>
      </c>
      <c r="B1139" s="1">
        <v>38.0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</row>
    <row r="1140">
      <c r="A1140" s="1" t="s">
        <v>1152</v>
      </c>
      <c r="B1140" s="1">
        <v>16.0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</row>
    <row r="1141">
      <c r="A1141" s="1" t="s">
        <v>1153</v>
      </c>
      <c r="B1141" s="1">
        <v>5.0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</row>
    <row r="1142">
      <c r="A1142" s="1" t="s">
        <v>1154</v>
      </c>
      <c r="B1142" s="1">
        <v>196.0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</row>
    <row r="1143">
      <c r="A1143" s="1" t="s">
        <v>1155</v>
      </c>
      <c r="B1143" s="1">
        <v>150.0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1.0</v>
      </c>
    </row>
    <row r="1144">
      <c r="A1144" s="1" t="s">
        <v>1156</v>
      </c>
      <c r="B1144" s="1">
        <v>7.0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</row>
    <row r="1145">
      <c r="A1145" s="1" t="s">
        <v>1157</v>
      </c>
      <c r="B1145" s="1">
        <v>54.0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</row>
    <row r="1146">
      <c r="A1146" s="1" t="s">
        <v>1158</v>
      </c>
      <c r="B1146" s="1">
        <v>76.0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</row>
    <row r="1147">
      <c r="A1147" s="1" t="s">
        <v>1159</v>
      </c>
      <c r="B1147" s="1">
        <v>46.0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</row>
    <row r="1148">
      <c r="A1148" s="1" t="s">
        <v>1160</v>
      </c>
      <c r="B1148" s="1">
        <v>83.0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</row>
    <row r="1149">
      <c r="A1149" s="1" t="s">
        <v>1161</v>
      </c>
      <c r="B1149" s="1">
        <v>10.0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</row>
    <row r="1150">
      <c r="A1150" s="1" t="s">
        <v>1162</v>
      </c>
      <c r="B1150" s="1">
        <v>22.0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</row>
    <row r="1151">
      <c r="A1151" s="1" t="s">
        <v>1163</v>
      </c>
      <c r="B1151" s="1">
        <v>69.0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</row>
    <row r="1152">
      <c r="A1152" s="1" t="s">
        <v>1164</v>
      </c>
      <c r="B1152" s="1">
        <v>23.0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</row>
    <row r="1153">
      <c r="A1153" s="1" t="s">
        <v>1165</v>
      </c>
      <c r="B1153" s="1">
        <v>35.0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</row>
    <row r="1154">
      <c r="A1154" s="1" t="s">
        <v>1166</v>
      </c>
      <c r="B1154" s="1">
        <v>36.0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</row>
    <row r="1155">
      <c r="A1155" s="1" t="s">
        <v>1167</v>
      </c>
      <c r="B1155" s="1">
        <v>4.0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</row>
    <row r="1156">
      <c r="A1156" s="1" t="s">
        <v>1168</v>
      </c>
      <c r="B1156" s="1">
        <v>95.0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</row>
    <row r="1157">
      <c r="A1157" s="1" t="s">
        <v>1169</v>
      </c>
      <c r="B1157" s="1">
        <v>49.0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</row>
    <row r="1158">
      <c r="A1158" s="1" t="s">
        <v>1170</v>
      </c>
      <c r="B1158" s="1">
        <v>35.0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</row>
    <row r="1159">
      <c r="A1159" s="1" t="s">
        <v>1171</v>
      </c>
      <c r="B1159" s="1">
        <v>5.0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</row>
    <row r="1160">
      <c r="A1160" s="1" t="s">
        <v>1172</v>
      </c>
      <c r="B1160" s="1">
        <v>71.0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</row>
    <row r="1161">
      <c r="A1161" s="1" t="s">
        <v>1173</v>
      </c>
      <c r="B1161" s="1">
        <v>14.0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</row>
    <row r="1162">
      <c r="A1162" s="1" t="s">
        <v>1174</v>
      </c>
      <c r="B1162" s="1">
        <v>15.0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</row>
    <row r="1163">
      <c r="A1163" s="1" t="s">
        <v>1175</v>
      </c>
      <c r="B1163" s="1">
        <v>21.0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</row>
    <row r="1164">
      <c r="A1164" s="1" t="s">
        <v>1176</v>
      </c>
      <c r="B1164" s="1">
        <v>27.0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</row>
    <row r="1165">
      <c r="A1165" s="1" t="s">
        <v>1177</v>
      </c>
      <c r="B1165" s="1">
        <v>24.0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</row>
    <row r="1166">
      <c r="A1166" s="1" t="s">
        <v>1178</v>
      </c>
      <c r="B1166" s="1">
        <v>21.0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</row>
    <row r="1167">
      <c r="A1167" s="1" t="s">
        <v>1179</v>
      </c>
      <c r="B1167" s="1">
        <v>34.0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</row>
    <row r="1168">
      <c r="A1168" s="1" t="s">
        <v>1180</v>
      </c>
      <c r="B1168" s="1">
        <v>4.0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</row>
    <row r="1169">
      <c r="A1169" s="1" t="s">
        <v>1181</v>
      </c>
      <c r="B1169" s="1">
        <v>24.0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</row>
    <row r="1170">
      <c r="A1170" s="1" t="s">
        <v>1182</v>
      </c>
      <c r="B1170" s="1">
        <v>33.0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</row>
    <row r="1171">
      <c r="A1171" s="1" t="s">
        <v>1183</v>
      </c>
      <c r="B1171" s="1">
        <v>92.0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</row>
    <row r="1172">
      <c r="A1172" s="1" t="s">
        <v>1184</v>
      </c>
      <c r="B1172" s="1">
        <v>109.0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</row>
    <row r="1173">
      <c r="A1173" s="1" t="s">
        <v>1185</v>
      </c>
      <c r="B1173" s="1">
        <v>21.0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</row>
    <row r="1174">
      <c r="A1174" s="1" t="s">
        <v>1186</v>
      </c>
      <c r="B1174" s="1">
        <v>22.0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</row>
    <row r="1175">
      <c r="A1175" s="1" t="s">
        <v>1187</v>
      </c>
      <c r="B1175" s="1">
        <v>35.0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</row>
    <row r="1176">
      <c r="A1176" s="1" t="s">
        <v>1188</v>
      </c>
      <c r="B1176" s="1">
        <v>339.0</v>
      </c>
      <c r="C1176" s="1">
        <v>3.0</v>
      </c>
      <c r="D1176" s="1">
        <v>0.0</v>
      </c>
      <c r="E1176" s="1">
        <v>0.0</v>
      </c>
      <c r="F1176" s="1">
        <v>0.0</v>
      </c>
      <c r="G1176" s="1">
        <v>2.0</v>
      </c>
    </row>
    <row r="1177">
      <c r="A1177" s="1" t="s">
        <v>1189</v>
      </c>
      <c r="B1177" s="1">
        <v>16.0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</row>
    <row r="1178">
      <c r="A1178" s="1" t="s">
        <v>1190</v>
      </c>
      <c r="B1178" s="1">
        <v>30.0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</row>
    <row r="1179">
      <c r="A1179" s="1" t="s">
        <v>1191</v>
      </c>
      <c r="B1179" s="1">
        <v>14.0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</row>
    <row r="1180">
      <c r="A1180" s="1" t="s">
        <v>1192</v>
      </c>
      <c r="B1180" s="1">
        <v>23.0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</row>
    <row r="1181">
      <c r="A1181" s="1" t="s">
        <v>1193</v>
      </c>
      <c r="B1181" s="1">
        <v>83.0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</row>
    <row r="1182">
      <c r="A1182" s="1" t="s">
        <v>1194</v>
      </c>
      <c r="B1182" s="1">
        <v>31.0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</row>
    <row r="1183">
      <c r="A1183" s="1" t="s">
        <v>1195</v>
      </c>
      <c r="B1183" s="1">
        <v>64.0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</row>
    <row r="1184">
      <c r="A1184" s="1" t="s">
        <v>1196</v>
      </c>
      <c r="B1184" s="1">
        <v>20.0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</row>
    <row r="1185">
      <c r="A1185" s="1" t="s">
        <v>1197</v>
      </c>
      <c r="B1185" s="1">
        <v>197.0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</row>
    <row r="1186">
      <c r="A1186" s="1" t="s">
        <v>1198</v>
      </c>
      <c r="B1186" s="1">
        <v>15.0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</row>
    <row r="1187">
      <c r="A1187" s="1" t="s">
        <v>1199</v>
      </c>
      <c r="B1187" s="1">
        <v>20.0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</row>
    <row r="1188">
      <c r="A1188" s="1" t="s">
        <v>1200</v>
      </c>
      <c r="B1188" s="1">
        <v>37.0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</row>
    <row r="1189">
      <c r="A1189" s="1" t="s">
        <v>1201</v>
      </c>
      <c r="B1189" s="1">
        <v>21.0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</row>
    <row r="1190">
      <c r="A1190" s="1" t="s">
        <v>1202</v>
      </c>
      <c r="B1190" s="1">
        <v>24.0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</row>
    <row r="1191">
      <c r="A1191" s="1" t="s">
        <v>1203</v>
      </c>
      <c r="B1191" s="1">
        <v>30.0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</row>
    <row r="1192">
      <c r="A1192" s="1" t="s">
        <v>1204</v>
      </c>
      <c r="B1192" s="1">
        <v>63.0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</row>
    <row r="1193">
      <c r="A1193" s="1" t="s">
        <v>1205</v>
      </c>
      <c r="B1193" s="1">
        <v>73.0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</row>
    <row r="1194">
      <c r="A1194" s="1" t="s">
        <v>1206</v>
      </c>
      <c r="B1194" s="1">
        <v>14.0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</row>
    <row r="1195">
      <c r="A1195" s="1" t="s">
        <v>1207</v>
      </c>
      <c r="B1195" s="1">
        <v>25.0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</row>
    <row r="1196">
      <c r="A1196" s="1" t="s">
        <v>1208</v>
      </c>
      <c r="B1196" s="1">
        <v>92.0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</row>
    <row r="1197">
      <c r="A1197" s="1" t="s">
        <v>1209</v>
      </c>
      <c r="B1197" s="1">
        <v>16.0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</row>
    <row r="1198">
      <c r="A1198" s="1" t="s">
        <v>1210</v>
      </c>
      <c r="B1198" s="1">
        <v>29.0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</row>
    <row r="1199">
      <c r="A1199" s="1" t="s">
        <v>1211</v>
      </c>
      <c r="B1199" s="1">
        <v>5.0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</row>
    <row r="1200">
      <c r="A1200" s="1" t="s">
        <v>1212</v>
      </c>
      <c r="B1200" s="1">
        <v>49.0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</row>
    <row r="1201">
      <c r="A1201" s="1" t="s">
        <v>1213</v>
      </c>
      <c r="B1201" s="1">
        <v>91.0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</row>
    <row r="1202">
      <c r="A1202" s="1" t="s">
        <v>1214</v>
      </c>
      <c r="B1202" s="1">
        <v>15.0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</row>
    <row r="1203">
      <c r="A1203" s="1" t="s">
        <v>1215</v>
      </c>
      <c r="B1203" s="1">
        <v>7.0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</row>
    <row r="1204">
      <c r="A1204" s="1" t="s">
        <v>1216</v>
      </c>
      <c r="B1204" s="1">
        <v>30.0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</row>
    <row r="1205">
      <c r="A1205" s="1" t="s">
        <v>1217</v>
      </c>
      <c r="B1205" s="1">
        <v>56.0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</row>
    <row r="1206">
      <c r="A1206" s="1" t="s">
        <v>1218</v>
      </c>
      <c r="B1206" s="1">
        <v>28.0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</row>
    <row r="1207">
      <c r="A1207" s="1" t="s">
        <v>1219</v>
      </c>
      <c r="B1207" s="1">
        <v>90.0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</row>
    <row r="1208">
      <c r="A1208" s="1" t="s">
        <v>1220</v>
      </c>
      <c r="B1208" s="1">
        <v>66.0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</row>
    <row r="1209">
      <c r="A1209" s="1" t="s">
        <v>1221</v>
      </c>
      <c r="B1209" s="1">
        <v>5.0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</row>
    <row r="1210">
      <c r="A1210" s="1" t="s">
        <v>1222</v>
      </c>
      <c r="B1210" s="1">
        <v>14.0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</row>
    <row r="1211">
      <c r="A1211" s="1" t="s">
        <v>1223</v>
      </c>
      <c r="B1211" s="1">
        <v>16.0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</row>
    <row r="1212">
      <c r="A1212" s="1" t="s">
        <v>1224</v>
      </c>
      <c r="B1212" s="1">
        <v>63.0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</row>
    <row r="1213">
      <c r="A1213" s="1" t="s">
        <v>1225</v>
      </c>
      <c r="B1213" s="1">
        <v>60.0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</row>
    <row r="1214">
      <c r="A1214" s="1" t="s">
        <v>1226</v>
      </c>
      <c r="B1214" s="1">
        <v>11.0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</row>
    <row r="1215">
      <c r="A1215" s="1" t="s">
        <v>1227</v>
      </c>
      <c r="B1215" s="1">
        <v>7.0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</row>
    <row r="1216">
      <c r="A1216" s="1" t="s">
        <v>1228</v>
      </c>
      <c r="B1216" s="1">
        <v>33.0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</row>
    <row r="1217">
      <c r="A1217" s="1" t="s">
        <v>1229</v>
      </c>
      <c r="B1217" s="1">
        <v>91.0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</row>
    <row r="1218">
      <c r="A1218" s="1" t="s">
        <v>1230</v>
      </c>
      <c r="B1218" s="1">
        <v>4.0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</row>
    <row r="1219">
      <c r="A1219" s="1" t="s">
        <v>1231</v>
      </c>
      <c r="B1219" s="1">
        <v>21.0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</row>
    <row r="1220">
      <c r="A1220" s="1" t="s">
        <v>1232</v>
      </c>
      <c r="B1220" s="1">
        <v>11.0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</row>
    <row r="1221">
      <c r="A1221" s="1" t="s">
        <v>1233</v>
      </c>
      <c r="B1221" s="1">
        <v>22.0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</row>
    <row r="1222">
      <c r="A1222" s="1" t="s">
        <v>1234</v>
      </c>
      <c r="B1222" s="1">
        <v>38.0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</row>
    <row r="1223">
      <c r="A1223" s="1" t="s">
        <v>1235</v>
      </c>
      <c r="B1223" s="1">
        <v>33.0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</row>
    <row r="1224">
      <c r="A1224" s="1" t="s">
        <v>1236</v>
      </c>
      <c r="B1224" s="1">
        <v>46.0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</row>
    <row r="1225">
      <c r="A1225" s="1" t="s">
        <v>1237</v>
      </c>
      <c r="B1225" s="1">
        <v>37.0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</row>
    <row r="1226">
      <c r="A1226" s="1" t="s">
        <v>1238</v>
      </c>
      <c r="B1226" s="1">
        <v>70.0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</row>
    <row r="1227">
      <c r="A1227" s="1" t="s">
        <v>1239</v>
      </c>
      <c r="B1227" s="1">
        <v>30.0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</row>
    <row r="1228">
      <c r="A1228" s="1" t="s">
        <v>1240</v>
      </c>
      <c r="B1228" s="1">
        <v>14.0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</row>
    <row r="1229">
      <c r="A1229" s="1" t="s">
        <v>1241</v>
      </c>
      <c r="B1229" s="1">
        <v>35.0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</row>
    <row r="1230">
      <c r="A1230" s="1" t="s">
        <v>1242</v>
      </c>
      <c r="B1230" s="1">
        <v>77.0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</row>
    <row r="1231">
      <c r="A1231" s="1" t="s">
        <v>1243</v>
      </c>
      <c r="B1231" s="1">
        <v>13.0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</row>
    <row r="1232">
      <c r="A1232" s="1" t="s">
        <v>1244</v>
      </c>
      <c r="B1232" s="1">
        <v>63.0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</row>
    <row r="1233">
      <c r="A1233" s="1" t="s">
        <v>1245</v>
      </c>
      <c r="B1233" s="1">
        <v>23.0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</row>
    <row r="1234">
      <c r="A1234" s="1" t="s">
        <v>1246</v>
      </c>
      <c r="B1234" s="1">
        <v>77.0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</row>
    <row r="1235">
      <c r="A1235" s="1" t="s">
        <v>1247</v>
      </c>
      <c r="B1235" s="1">
        <v>6.0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</row>
    <row r="1236">
      <c r="A1236" s="1" t="s">
        <v>1248</v>
      </c>
      <c r="B1236" s="1">
        <v>12.0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</row>
    <row r="1237">
      <c r="A1237" s="1" t="s">
        <v>1249</v>
      </c>
      <c r="B1237" s="1">
        <v>51.0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</row>
    <row r="1238">
      <c r="A1238" s="1" t="s">
        <v>1250</v>
      </c>
      <c r="B1238" s="1">
        <v>13.0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</row>
    <row r="1239">
      <c r="A1239" s="1" t="s">
        <v>1251</v>
      </c>
      <c r="B1239" s="1">
        <v>15.0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</row>
    <row r="1240">
      <c r="A1240" s="1" t="s">
        <v>1252</v>
      </c>
      <c r="B1240" s="1">
        <v>7.0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</row>
    <row r="1241">
      <c r="A1241" s="1" t="s">
        <v>1253</v>
      </c>
      <c r="B1241" s="1">
        <v>23.0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</row>
    <row r="1242">
      <c r="A1242" s="1" t="s">
        <v>1254</v>
      </c>
      <c r="B1242" s="1">
        <v>138.0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</row>
    <row r="1243">
      <c r="A1243" s="1" t="s">
        <v>1255</v>
      </c>
      <c r="B1243" s="1">
        <v>47.0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</row>
    <row r="1244">
      <c r="A1244" s="1" t="s">
        <v>1256</v>
      </c>
      <c r="B1244" s="1">
        <v>138.0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</row>
    <row r="1245">
      <c r="A1245" s="1" t="s">
        <v>1257</v>
      </c>
      <c r="B1245" s="1">
        <v>24.0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</row>
    <row r="1246">
      <c r="A1246" s="1" t="s">
        <v>1258</v>
      </c>
      <c r="B1246" s="1">
        <v>27.0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</row>
    <row r="1247">
      <c r="A1247" s="1" t="s">
        <v>1259</v>
      </c>
      <c r="B1247" s="1">
        <v>18.0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</row>
    <row r="1248">
      <c r="A1248" s="1" t="s">
        <v>1260</v>
      </c>
      <c r="B1248" s="1">
        <v>42.0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</row>
    <row r="1249">
      <c r="A1249" s="1" t="s">
        <v>1261</v>
      </c>
      <c r="B1249" s="1">
        <v>619.0</v>
      </c>
      <c r="C1249" s="1">
        <v>5.0</v>
      </c>
      <c r="D1249" s="1">
        <v>0.0</v>
      </c>
      <c r="E1249" s="1">
        <v>0.0</v>
      </c>
      <c r="F1249" s="1">
        <v>0.0</v>
      </c>
      <c r="G1249" s="1">
        <v>2.0</v>
      </c>
    </row>
    <row r="1250">
      <c r="A1250" s="1" t="s">
        <v>1262</v>
      </c>
      <c r="B1250" s="1">
        <v>19.0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</row>
    <row r="1251">
      <c r="A1251" s="1" t="s">
        <v>1263</v>
      </c>
      <c r="B1251" s="1">
        <v>873.0</v>
      </c>
      <c r="C1251" s="1">
        <v>14.0</v>
      </c>
      <c r="D1251" s="1">
        <v>0.0</v>
      </c>
      <c r="E1251" s="1">
        <v>2.0</v>
      </c>
      <c r="F1251" s="1">
        <v>0.0</v>
      </c>
      <c r="G1251" s="1">
        <v>7.0</v>
      </c>
    </row>
    <row r="1252">
      <c r="A1252" s="1" t="s">
        <v>1264</v>
      </c>
      <c r="B1252" s="1">
        <v>73.0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</row>
    <row r="1253">
      <c r="A1253" s="1" t="s">
        <v>1265</v>
      </c>
      <c r="B1253" s="1">
        <v>19.0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</row>
    <row r="1254">
      <c r="A1254" s="1" t="s">
        <v>1266</v>
      </c>
      <c r="B1254" s="1">
        <v>36.0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</row>
    <row r="1255">
      <c r="A1255" s="1" t="s">
        <v>1267</v>
      </c>
      <c r="B1255" s="1">
        <v>82.0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</row>
    <row r="1256">
      <c r="A1256" s="1" t="s">
        <v>1268</v>
      </c>
      <c r="B1256" s="1">
        <v>9.0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</row>
    <row r="1257">
      <c r="A1257" s="1" t="s">
        <v>1269</v>
      </c>
      <c r="B1257" s="1">
        <v>26.0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</row>
    <row r="1258">
      <c r="A1258" s="1" t="s">
        <v>1270</v>
      </c>
      <c r="B1258" s="1">
        <v>54.0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</row>
    <row r="1259">
      <c r="A1259" s="1" t="s">
        <v>1271</v>
      </c>
      <c r="B1259" s="1">
        <v>3.0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</row>
    <row r="1260">
      <c r="A1260" s="1" t="s">
        <v>1272</v>
      </c>
      <c r="B1260" s="1">
        <v>14.0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</row>
    <row r="1261">
      <c r="A1261" s="1" t="s">
        <v>1273</v>
      </c>
      <c r="B1261" s="1">
        <v>14.0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</row>
    <row r="1262">
      <c r="A1262" s="1" t="s">
        <v>1274</v>
      </c>
      <c r="B1262" s="1">
        <v>41.0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</row>
    <row r="1263">
      <c r="A1263" s="1" t="s">
        <v>1275</v>
      </c>
      <c r="B1263" s="1">
        <v>37.0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</row>
    <row r="1264">
      <c r="A1264" s="1" t="s">
        <v>1276</v>
      </c>
      <c r="B1264" s="1">
        <v>5.0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</row>
    <row r="1265">
      <c r="A1265" s="1" t="s">
        <v>1277</v>
      </c>
      <c r="B1265" s="1">
        <v>16.0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</row>
    <row r="1266">
      <c r="A1266" s="1" t="s">
        <v>1278</v>
      </c>
      <c r="B1266" s="1">
        <v>7.0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</row>
    <row r="1267">
      <c r="A1267" s="1" t="s">
        <v>1279</v>
      </c>
      <c r="B1267" s="1">
        <v>29.0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</row>
    <row r="1268">
      <c r="A1268" s="1" t="s">
        <v>1280</v>
      </c>
      <c r="B1268" s="1">
        <v>34.0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</row>
    <row r="1269">
      <c r="A1269" s="1" t="s">
        <v>1281</v>
      </c>
      <c r="B1269" s="1">
        <v>26.0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</row>
    <row r="1270">
      <c r="A1270" s="1" t="s">
        <v>1282</v>
      </c>
      <c r="B1270" s="1">
        <v>60.0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</row>
    <row r="1271">
      <c r="A1271" s="1" t="s">
        <v>1283</v>
      </c>
      <c r="B1271" s="1">
        <v>22.0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</row>
    <row r="1272">
      <c r="A1272" s="1" t="s">
        <v>1284</v>
      </c>
      <c r="B1272" s="1">
        <v>11.0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</row>
    <row r="1273">
      <c r="A1273" s="1" t="s">
        <v>1285</v>
      </c>
      <c r="B1273" s="1">
        <v>11.0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</row>
    <row r="1274">
      <c r="A1274" s="1" t="s">
        <v>1286</v>
      </c>
      <c r="B1274" s="1">
        <v>124.0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</row>
    <row r="1275">
      <c r="A1275" s="1" t="s">
        <v>1287</v>
      </c>
      <c r="B1275" s="1">
        <v>18.0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</row>
    <row r="1276">
      <c r="A1276" s="1" t="s">
        <v>1288</v>
      </c>
      <c r="B1276" s="1">
        <v>67.0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</row>
    <row r="1277">
      <c r="A1277" s="1" t="s">
        <v>1289</v>
      </c>
      <c r="B1277" s="1">
        <v>71.0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</row>
    <row r="1278">
      <c r="A1278" s="1" t="s">
        <v>1290</v>
      </c>
      <c r="B1278" s="1">
        <v>80.0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</row>
    <row r="1279">
      <c r="A1279" s="1" t="s">
        <v>1291</v>
      </c>
      <c r="B1279" s="1">
        <v>25.0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</row>
    <row r="1280">
      <c r="A1280" s="1" t="s">
        <v>1292</v>
      </c>
      <c r="B1280" s="1">
        <v>3.0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</row>
    <row r="1281">
      <c r="A1281" s="1" t="s">
        <v>1293</v>
      </c>
      <c r="B1281" s="1">
        <v>38.0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</row>
    <row r="1282">
      <c r="A1282" s="1" t="s">
        <v>1294</v>
      </c>
      <c r="B1282" s="1">
        <v>32.0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</row>
    <row r="1283">
      <c r="A1283" s="1" t="s">
        <v>1295</v>
      </c>
      <c r="B1283" s="1">
        <v>24.0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</row>
    <row r="1284">
      <c r="A1284" s="1" t="s">
        <v>1296</v>
      </c>
      <c r="B1284" s="1">
        <v>4.0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</row>
    <row r="1285">
      <c r="A1285" s="1" t="s">
        <v>1297</v>
      </c>
      <c r="B1285" s="1">
        <v>12.0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</row>
    <row r="1286">
      <c r="A1286" s="1" t="s">
        <v>1298</v>
      </c>
      <c r="B1286" s="1">
        <v>5.0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</row>
    <row r="1287">
      <c r="A1287" s="1" t="s">
        <v>1299</v>
      </c>
      <c r="B1287" s="1">
        <v>62.0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</row>
    <row r="1288">
      <c r="A1288" s="1" t="s">
        <v>1300</v>
      </c>
      <c r="B1288" s="1">
        <v>235.0</v>
      </c>
      <c r="C1288" s="1">
        <v>2.0</v>
      </c>
      <c r="D1288" s="1">
        <v>0.0</v>
      </c>
      <c r="E1288" s="1">
        <v>0.0</v>
      </c>
      <c r="F1288" s="1">
        <v>0.0</v>
      </c>
      <c r="G1288" s="1">
        <v>2.0</v>
      </c>
    </row>
    <row r="1289">
      <c r="A1289" s="1" t="s">
        <v>1301</v>
      </c>
      <c r="B1289" s="1">
        <v>25.0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</row>
    <row r="1290">
      <c r="A1290" s="1" t="s">
        <v>1302</v>
      </c>
      <c r="B1290" s="1">
        <v>21.0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</row>
    <row r="1291">
      <c r="A1291" s="1" t="s">
        <v>1303</v>
      </c>
      <c r="B1291" s="1">
        <v>41.0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</row>
    <row r="1292">
      <c r="A1292" s="1" t="s">
        <v>1304</v>
      </c>
      <c r="B1292" s="1">
        <v>66.0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</row>
    <row r="1293">
      <c r="A1293" s="1" t="s">
        <v>1305</v>
      </c>
      <c r="B1293" s="1">
        <v>35.0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</row>
    <row r="1294">
      <c r="A1294" s="1" t="s">
        <v>1306</v>
      </c>
      <c r="B1294" s="1">
        <v>74.0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</row>
    <row r="1295">
      <c r="A1295" s="1" t="s">
        <v>1307</v>
      </c>
      <c r="B1295" s="1">
        <v>34.0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</row>
    <row r="1296">
      <c r="A1296" s="1" t="s">
        <v>1308</v>
      </c>
      <c r="B1296" s="1">
        <v>116.0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</row>
    <row r="1297">
      <c r="A1297" s="1" t="s">
        <v>1309</v>
      </c>
      <c r="B1297" s="1">
        <v>40.0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</row>
    <row r="1298">
      <c r="A1298" s="1" t="s">
        <v>1310</v>
      </c>
      <c r="B1298" s="1">
        <v>47.0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</row>
    <row r="1299">
      <c r="A1299" s="1" t="s">
        <v>1311</v>
      </c>
      <c r="B1299" s="1">
        <v>23.0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</row>
    <row r="1300">
      <c r="A1300" s="1" t="s">
        <v>1312</v>
      </c>
      <c r="B1300" s="1">
        <v>13.0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</row>
    <row r="1301">
      <c r="A1301" s="1" t="s">
        <v>1313</v>
      </c>
      <c r="B1301" s="1">
        <v>101.0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</row>
    <row r="1302">
      <c r="A1302" s="1" t="s">
        <v>1314</v>
      </c>
      <c r="B1302" s="1">
        <v>83.0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</row>
    <row r="1303">
      <c r="A1303" s="1" t="s">
        <v>1315</v>
      </c>
      <c r="B1303" s="1">
        <v>436.0</v>
      </c>
      <c r="C1303" s="1">
        <v>3.0</v>
      </c>
      <c r="D1303" s="1">
        <v>0.0</v>
      </c>
      <c r="E1303" s="1">
        <v>1.0</v>
      </c>
      <c r="F1303" s="1">
        <v>0.0</v>
      </c>
      <c r="G1303" s="1">
        <v>2.0</v>
      </c>
    </row>
    <row r="1304">
      <c r="A1304" s="1" t="s">
        <v>1316</v>
      </c>
      <c r="B1304" s="1">
        <v>12.0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</row>
    <row r="1305">
      <c r="A1305" s="1" t="s">
        <v>1317</v>
      </c>
      <c r="B1305" s="1">
        <v>10.0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</row>
    <row r="1306">
      <c r="A1306" s="1" t="s">
        <v>1318</v>
      </c>
      <c r="B1306" s="1">
        <v>32.0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</row>
    <row r="1307">
      <c r="A1307" s="1" t="s">
        <v>1319</v>
      </c>
      <c r="B1307" s="1">
        <v>35.0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</row>
    <row r="1308">
      <c r="A1308" s="1" t="s">
        <v>1320</v>
      </c>
      <c r="B1308" s="1">
        <v>77.0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</row>
    <row r="1309">
      <c r="A1309" s="1" t="s">
        <v>1321</v>
      </c>
      <c r="B1309" s="1">
        <v>60.0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</row>
    <row r="1310">
      <c r="A1310" s="1" t="s">
        <v>1322</v>
      </c>
      <c r="B1310" s="1">
        <v>32.0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</row>
    <row r="1311">
      <c r="A1311" s="1" t="s">
        <v>1323</v>
      </c>
      <c r="B1311" s="1">
        <v>23.0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</row>
    <row r="1312">
      <c r="A1312" s="1" t="s">
        <v>1324</v>
      </c>
      <c r="B1312" s="1">
        <v>19.0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</row>
    <row r="1313">
      <c r="A1313" s="1" t="s">
        <v>1325</v>
      </c>
      <c r="B1313" s="1">
        <v>96.0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</row>
    <row r="1314">
      <c r="A1314" s="1" t="s">
        <v>1326</v>
      </c>
      <c r="B1314" s="1">
        <v>32.0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</row>
    <row r="1315">
      <c r="A1315" s="1" t="s">
        <v>1327</v>
      </c>
      <c r="B1315" s="1">
        <v>121.0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</row>
    <row r="1316">
      <c r="A1316" s="1" t="s">
        <v>1328</v>
      </c>
      <c r="B1316" s="1">
        <v>81.0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</row>
    <row r="1317">
      <c r="A1317" s="1" t="s">
        <v>1329</v>
      </c>
      <c r="B1317" s="1">
        <v>120.0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</row>
    <row r="1318">
      <c r="A1318" s="1" t="s">
        <v>1330</v>
      </c>
      <c r="B1318" s="1">
        <v>61.0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</row>
    <row r="1319">
      <c r="A1319" s="1" t="s">
        <v>1331</v>
      </c>
      <c r="B1319" s="1">
        <v>89.0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</row>
    <row r="1320">
      <c r="A1320" s="1" t="s">
        <v>1332</v>
      </c>
      <c r="B1320" s="1">
        <v>6.0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</row>
    <row r="1321">
      <c r="A1321" s="1" t="s">
        <v>1333</v>
      </c>
      <c r="B1321" s="1">
        <v>35.0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</row>
    <row r="1322">
      <c r="A1322" s="1" t="s">
        <v>1334</v>
      </c>
      <c r="B1322" s="1">
        <v>62.0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</row>
    <row r="1323">
      <c r="A1323" s="1" t="s">
        <v>1335</v>
      </c>
      <c r="B1323" s="1">
        <v>112.0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</row>
    <row r="1324">
      <c r="A1324" s="1" t="s">
        <v>1336</v>
      </c>
      <c r="B1324" s="1">
        <v>36.0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</row>
    <row r="1325">
      <c r="A1325" s="1" t="s">
        <v>1337</v>
      </c>
      <c r="B1325" s="1">
        <v>52.0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</row>
    <row r="1326">
      <c r="A1326" s="1" t="s">
        <v>1338</v>
      </c>
      <c r="B1326" s="1">
        <v>5.0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</row>
    <row r="1327">
      <c r="A1327" s="1" t="s">
        <v>1339</v>
      </c>
      <c r="B1327" s="1">
        <v>62.0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</row>
    <row r="1328">
      <c r="A1328" s="1" t="s">
        <v>1340</v>
      </c>
      <c r="B1328" s="1">
        <v>29.0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</row>
    <row r="1329">
      <c r="A1329" s="1" t="s">
        <v>1341</v>
      </c>
      <c r="B1329" s="1">
        <v>19.0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</row>
    <row r="1330">
      <c r="A1330" s="1" t="s">
        <v>1342</v>
      </c>
      <c r="B1330" s="1">
        <v>31.0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</row>
    <row r="1331">
      <c r="A1331" s="1" t="s">
        <v>1343</v>
      </c>
      <c r="B1331" s="1">
        <v>24.0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</row>
    <row r="1332">
      <c r="A1332" s="1" t="s">
        <v>1344</v>
      </c>
      <c r="B1332" s="1">
        <v>127.0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</row>
    <row r="1333">
      <c r="A1333" s="1" t="s">
        <v>1345</v>
      </c>
      <c r="B1333" s="1">
        <v>4.0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</row>
    <row r="1334">
      <c r="A1334" s="1" t="s">
        <v>1346</v>
      </c>
      <c r="B1334" s="1">
        <v>50.0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</row>
    <row r="1335">
      <c r="A1335" s="1" t="s">
        <v>1347</v>
      </c>
      <c r="B1335" s="1">
        <v>98.0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</row>
    <row r="1336">
      <c r="A1336" s="1" t="s">
        <v>1348</v>
      </c>
      <c r="B1336" s="1">
        <v>30.0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</row>
    <row r="1337">
      <c r="A1337" s="1" t="s">
        <v>1349</v>
      </c>
      <c r="B1337" s="1">
        <v>91.0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</row>
    <row r="1338">
      <c r="A1338" s="1" t="s">
        <v>1350</v>
      </c>
      <c r="B1338" s="1">
        <v>66.0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</row>
    <row r="1339">
      <c r="A1339" s="1" t="s">
        <v>1351</v>
      </c>
      <c r="B1339" s="1">
        <v>48.0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</row>
    <row r="1340">
      <c r="A1340" s="1" t="s">
        <v>1352</v>
      </c>
      <c r="B1340" s="1">
        <v>25.0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</row>
    <row r="1341">
      <c r="A1341" s="1" t="s">
        <v>1353</v>
      </c>
      <c r="B1341" s="1">
        <v>34.0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</row>
    <row r="1342">
      <c r="A1342" s="1" t="s">
        <v>1354</v>
      </c>
      <c r="B1342" s="1">
        <v>13.0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</row>
    <row r="1343">
      <c r="A1343" s="1" t="s">
        <v>1355</v>
      </c>
      <c r="B1343" s="1">
        <v>10.0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</row>
    <row r="1344">
      <c r="A1344" s="1" t="s">
        <v>1356</v>
      </c>
      <c r="B1344" s="1">
        <v>41.0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</row>
    <row r="1345">
      <c r="A1345" s="1" t="s">
        <v>1357</v>
      </c>
      <c r="B1345" s="1">
        <v>14.0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</row>
    <row r="1346">
      <c r="A1346" s="1" t="s">
        <v>1358</v>
      </c>
      <c r="B1346" s="1">
        <v>23.0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</row>
    <row r="1347">
      <c r="A1347" s="1" t="s">
        <v>1359</v>
      </c>
      <c r="B1347" s="1">
        <v>33.0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</row>
    <row r="1348">
      <c r="A1348" s="1" t="s">
        <v>1360</v>
      </c>
      <c r="B1348" s="1">
        <v>110.0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</row>
    <row r="1349">
      <c r="A1349" s="1" t="s">
        <v>1361</v>
      </c>
      <c r="B1349" s="1">
        <v>10.0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</row>
    <row r="1350">
      <c r="A1350" s="1" t="s">
        <v>1362</v>
      </c>
      <c r="B1350" s="1">
        <v>98.0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</row>
    <row r="1351">
      <c r="A1351" s="1" t="s">
        <v>1363</v>
      </c>
      <c r="B1351" s="1">
        <v>4.0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</row>
    <row r="1352">
      <c r="A1352" s="1" t="s">
        <v>1364</v>
      </c>
      <c r="B1352" s="1">
        <v>122.0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</row>
    <row r="1353">
      <c r="A1353" s="1" t="s">
        <v>1365</v>
      </c>
      <c r="B1353" s="1">
        <v>22.0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</row>
    <row r="1354">
      <c r="A1354" s="1" t="s">
        <v>1366</v>
      </c>
      <c r="B1354" s="1">
        <v>10.0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</row>
    <row r="1355">
      <c r="A1355" s="1" t="s">
        <v>1367</v>
      </c>
      <c r="B1355" s="1">
        <v>34.0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</row>
    <row r="1356">
      <c r="A1356" s="1" t="s">
        <v>1368</v>
      </c>
      <c r="B1356" s="1">
        <v>4.0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</row>
    <row r="1357">
      <c r="A1357" s="1" t="s">
        <v>1369</v>
      </c>
      <c r="B1357" s="1">
        <v>85.0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</row>
    <row r="1358">
      <c r="A1358" s="1" t="s">
        <v>1370</v>
      </c>
      <c r="B1358" s="1">
        <v>33.0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</row>
    <row r="1359">
      <c r="A1359" s="1" t="s">
        <v>1371</v>
      </c>
      <c r="B1359" s="1">
        <v>19.0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</row>
    <row r="1360">
      <c r="A1360" s="1" t="s">
        <v>1372</v>
      </c>
      <c r="B1360" s="1">
        <v>34.0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</row>
    <row r="1361">
      <c r="A1361" s="1" t="s">
        <v>1373</v>
      </c>
      <c r="B1361" s="1">
        <v>42.0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</row>
    <row r="1362">
      <c r="A1362" s="1" t="s">
        <v>1374</v>
      </c>
      <c r="B1362" s="1">
        <v>3.0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</row>
    <row r="1363">
      <c r="A1363" s="1" t="s">
        <v>1375</v>
      </c>
      <c r="B1363" s="1">
        <v>3.0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</row>
    <row r="1364">
      <c r="A1364" s="1" t="s">
        <v>1376</v>
      </c>
      <c r="B1364" s="1">
        <v>37.0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</row>
    <row r="1365">
      <c r="A1365" s="1" t="s">
        <v>1377</v>
      </c>
      <c r="B1365" s="1">
        <v>49.0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</row>
    <row r="1366">
      <c r="A1366" s="1" t="s">
        <v>1378</v>
      </c>
      <c r="B1366" s="1">
        <v>66.0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</row>
    <row r="1367">
      <c r="A1367" s="1" t="s">
        <v>1379</v>
      </c>
      <c r="B1367" s="1">
        <v>23.0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</row>
    <row r="1368">
      <c r="A1368" s="1" t="s">
        <v>1380</v>
      </c>
      <c r="B1368" s="1">
        <v>109.0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</row>
    <row r="1369">
      <c r="A1369" s="1" t="s">
        <v>1381</v>
      </c>
      <c r="B1369" s="1">
        <v>6.0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</row>
    <row r="1370">
      <c r="A1370" s="1" t="s">
        <v>1382</v>
      </c>
      <c r="B1370" s="1">
        <v>109.0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</row>
    <row r="1371">
      <c r="A1371" s="1" t="s">
        <v>1383</v>
      </c>
      <c r="B1371" s="1">
        <v>20.0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</row>
    <row r="1372">
      <c r="A1372" s="1" t="s">
        <v>1384</v>
      </c>
      <c r="B1372" s="1">
        <v>26.0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</row>
    <row r="1373">
      <c r="A1373" s="1" t="s">
        <v>1385</v>
      </c>
      <c r="B1373" s="1">
        <v>107.0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</row>
    <row r="1374">
      <c r="A1374" s="1" t="s">
        <v>1386</v>
      </c>
      <c r="B1374" s="1">
        <v>86.0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</row>
    <row r="1375">
      <c r="A1375" s="1" t="s">
        <v>1387</v>
      </c>
      <c r="B1375" s="1">
        <v>41.0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</row>
    <row r="1376">
      <c r="A1376" s="1" t="s">
        <v>1388</v>
      </c>
      <c r="B1376" s="1">
        <v>13.0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</row>
    <row r="1377">
      <c r="A1377" s="1" t="s">
        <v>1389</v>
      </c>
      <c r="B1377" s="1">
        <v>20.0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</row>
    <row r="1378">
      <c r="A1378" s="1" t="s">
        <v>1390</v>
      </c>
      <c r="B1378" s="1">
        <v>35.0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</row>
    <row r="1379">
      <c r="A1379" s="1" t="s">
        <v>1391</v>
      </c>
      <c r="B1379" s="1">
        <v>23.0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</row>
    <row r="1380">
      <c r="A1380" s="1" t="s">
        <v>1392</v>
      </c>
      <c r="B1380" s="1">
        <v>3.0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</row>
    <row r="1381">
      <c r="A1381" s="1" t="s">
        <v>1393</v>
      </c>
      <c r="B1381" s="1">
        <v>14.0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</row>
    <row r="1382">
      <c r="A1382" s="1" t="s">
        <v>1394</v>
      </c>
      <c r="B1382" s="1">
        <v>85.0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</row>
    <row r="1383">
      <c r="A1383" s="1" t="s">
        <v>1395</v>
      </c>
      <c r="B1383" s="1">
        <v>162.0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</row>
    <row r="1384">
      <c r="A1384" s="1" t="s">
        <v>1396</v>
      </c>
      <c r="B1384" s="1">
        <v>29.0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</row>
    <row r="1385">
      <c r="A1385" s="1" t="s">
        <v>1397</v>
      </c>
      <c r="B1385" s="1">
        <v>32.0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</row>
    <row r="1386">
      <c r="A1386" s="1" t="s">
        <v>1398</v>
      </c>
      <c r="B1386" s="1">
        <v>15.0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</row>
    <row r="1387">
      <c r="A1387" s="1" t="s">
        <v>1399</v>
      </c>
      <c r="B1387" s="1">
        <v>90.0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</row>
    <row r="1388">
      <c r="A1388" s="1" t="s">
        <v>1400</v>
      </c>
      <c r="B1388" s="1">
        <v>18.0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</row>
    <row r="1389">
      <c r="A1389" s="1" t="s">
        <v>1401</v>
      </c>
      <c r="B1389" s="1">
        <v>92.0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</row>
    <row r="1390">
      <c r="A1390" s="1" t="s">
        <v>1402</v>
      </c>
      <c r="B1390" s="1">
        <v>11.0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</row>
    <row r="1391">
      <c r="A1391" s="1" t="s">
        <v>1403</v>
      </c>
      <c r="B1391" s="1">
        <v>22.0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</row>
    <row r="1392">
      <c r="A1392" s="1" t="s">
        <v>1404</v>
      </c>
      <c r="B1392" s="1">
        <v>18.0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</row>
    <row r="1393">
      <c r="A1393" s="1" t="s">
        <v>1405</v>
      </c>
      <c r="B1393" s="1">
        <v>61.0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</row>
    <row r="1394">
      <c r="A1394" s="1" t="s">
        <v>1406</v>
      </c>
      <c r="B1394" s="1">
        <v>51.0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</row>
    <row r="1395">
      <c r="A1395" s="1" t="s">
        <v>1407</v>
      </c>
      <c r="B1395" s="1">
        <v>44.0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</row>
    <row r="1396">
      <c r="A1396" s="1" t="s">
        <v>1408</v>
      </c>
      <c r="B1396" s="1">
        <v>88.0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</row>
    <row r="1397">
      <c r="A1397" s="1" t="s">
        <v>1409</v>
      </c>
      <c r="B1397" s="1">
        <v>3.0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</row>
    <row r="1398">
      <c r="A1398" s="1" t="s">
        <v>1410</v>
      </c>
      <c r="B1398" s="1">
        <v>79.0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</row>
    <row r="1399">
      <c r="A1399" s="1" t="s">
        <v>1411</v>
      </c>
      <c r="B1399" s="1">
        <v>20.0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</row>
    <row r="1400">
      <c r="A1400" s="1" t="s">
        <v>1412</v>
      </c>
      <c r="B1400" s="1">
        <v>16.0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</row>
    <row r="1401">
      <c r="A1401" s="1" t="s">
        <v>1413</v>
      </c>
      <c r="B1401" s="1">
        <v>19.0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</row>
    <row r="1402">
      <c r="A1402" s="1" t="s">
        <v>1414</v>
      </c>
      <c r="B1402" s="1">
        <v>40.0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</row>
    <row r="1403">
      <c r="A1403" s="1" t="s">
        <v>1415</v>
      </c>
      <c r="B1403" s="1">
        <v>17.0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</row>
    <row r="1404">
      <c r="A1404" s="1" t="s">
        <v>1416</v>
      </c>
      <c r="B1404" s="1">
        <v>38.0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</row>
    <row r="1405">
      <c r="A1405" s="1" t="s">
        <v>1417</v>
      </c>
      <c r="B1405" s="1">
        <v>21.0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</row>
    <row r="1406">
      <c r="A1406" s="1" t="s">
        <v>1418</v>
      </c>
      <c r="B1406" s="1">
        <v>38.0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</row>
    <row r="1407">
      <c r="A1407" s="1" t="s">
        <v>1419</v>
      </c>
      <c r="B1407" s="1">
        <v>18.0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</row>
    <row r="1408">
      <c r="A1408" s="1" t="s">
        <v>1420</v>
      </c>
      <c r="B1408" s="1">
        <v>108.0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</row>
    <row r="1409">
      <c r="A1409" s="1" t="s">
        <v>1421</v>
      </c>
      <c r="B1409" s="1">
        <v>15.0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</row>
    <row r="1410">
      <c r="A1410" s="1" t="s">
        <v>1422</v>
      </c>
      <c r="B1410" s="1">
        <v>68.0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</row>
    <row r="1411">
      <c r="A1411" s="1" t="s">
        <v>1423</v>
      </c>
      <c r="B1411" s="1">
        <v>14.0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</row>
    <row r="1412">
      <c r="A1412" s="1" t="s">
        <v>1424</v>
      </c>
      <c r="B1412" s="1">
        <v>19.0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</row>
    <row r="1413">
      <c r="A1413" s="1" t="s">
        <v>1425</v>
      </c>
      <c r="B1413" s="1">
        <v>129.0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</row>
    <row r="1414">
      <c r="A1414" s="1" t="s">
        <v>1426</v>
      </c>
      <c r="B1414" s="1">
        <v>10.0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</row>
    <row r="1415">
      <c r="A1415" s="1" t="s">
        <v>1427</v>
      </c>
      <c r="B1415" s="1">
        <v>12.0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</row>
    <row r="1416">
      <c r="A1416" s="1" t="s">
        <v>1428</v>
      </c>
      <c r="B1416" s="1">
        <v>35.0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</row>
    <row r="1417">
      <c r="A1417" s="1" t="s">
        <v>1429</v>
      </c>
      <c r="B1417" s="1">
        <v>18.0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</row>
    <row r="1418">
      <c r="A1418" s="1" t="s">
        <v>1430</v>
      </c>
      <c r="B1418" s="1">
        <v>34.0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</row>
    <row r="1419">
      <c r="A1419" s="1" t="s">
        <v>1431</v>
      </c>
      <c r="B1419" s="1">
        <v>2.0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</row>
    <row r="1420">
      <c r="A1420" s="1" t="s">
        <v>1432</v>
      </c>
      <c r="B1420" s="1">
        <v>86.0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</row>
    <row r="1421">
      <c r="A1421" s="1" t="s">
        <v>1433</v>
      </c>
      <c r="B1421" s="1">
        <v>45.0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</row>
    <row r="1422">
      <c r="A1422" s="1" t="s">
        <v>1434</v>
      </c>
      <c r="B1422" s="1">
        <v>5.0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</row>
    <row r="1423">
      <c r="A1423" s="1" t="s">
        <v>1435</v>
      </c>
      <c r="B1423" s="1">
        <v>10.0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</row>
    <row r="1424">
      <c r="A1424" s="1" t="s">
        <v>1436</v>
      </c>
      <c r="B1424" s="1">
        <v>15.0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</row>
    <row r="1425">
      <c r="A1425" s="1" t="s">
        <v>1437</v>
      </c>
      <c r="B1425" s="1">
        <v>45.0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</row>
    <row r="1426">
      <c r="A1426" s="1" t="s">
        <v>1438</v>
      </c>
      <c r="B1426" s="1">
        <v>111.0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</row>
    <row r="1427">
      <c r="A1427" s="1" t="s">
        <v>1439</v>
      </c>
      <c r="B1427" s="1">
        <v>42.0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</row>
    <row r="1428">
      <c r="A1428" s="1" t="s">
        <v>1440</v>
      </c>
      <c r="B1428" s="1">
        <v>109.0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</row>
    <row r="1429">
      <c r="A1429" s="1" t="s">
        <v>1441</v>
      </c>
      <c r="B1429" s="1">
        <v>43.0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</row>
    <row r="1430">
      <c r="A1430" s="1" t="s">
        <v>1442</v>
      </c>
      <c r="B1430" s="1">
        <v>3.0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</row>
    <row r="1431">
      <c r="A1431" s="1" t="s">
        <v>1443</v>
      </c>
      <c r="B1431" s="1">
        <v>23.0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</row>
    <row r="1432">
      <c r="A1432" s="1" t="s">
        <v>1444</v>
      </c>
      <c r="B1432" s="1">
        <v>4.0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</row>
    <row r="1433">
      <c r="A1433" s="1" t="s">
        <v>1445</v>
      </c>
      <c r="B1433" s="1">
        <v>52.0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</row>
    <row r="1434">
      <c r="A1434" s="1" t="s">
        <v>1446</v>
      </c>
      <c r="B1434" s="1">
        <v>23.0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</row>
    <row r="1435">
      <c r="A1435" s="1" t="s">
        <v>1447</v>
      </c>
      <c r="B1435" s="1">
        <v>70.0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</row>
    <row r="1436">
      <c r="A1436" s="1" t="s">
        <v>1448</v>
      </c>
      <c r="B1436" s="1">
        <v>84.0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</row>
    <row r="1437">
      <c r="A1437" s="1" t="s">
        <v>1449</v>
      </c>
      <c r="B1437" s="1">
        <v>14.0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</row>
    <row r="1438">
      <c r="A1438" s="1" t="s">
        <v>1450</v>
      </c>
      <c r="B1438" s="1">
        <v>30.0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</row>
    <row r="1439">
      <c r="A1439" s="1" t="s">
        <v>1451</v>
      </c>
      <c r="B1439" s="1">
        <v>23.0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</row>
    <row r="1440">
      <c r="A1440" s="1" t="s">
        <v>1452</v>
      </c>
      <c r="B1440" s="1">
        <v>42.0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</row>
    <row r="1441">
      <c r="A1441" s="1" t="s">
        <v>1453</v>
      </c>
      <c r="B1441" s="1">
        <v>28.0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</row>
    <row r="1442">
      <c r="A1442" s="1" t="s">
        <v>1454</v>
      </c>
      <c r="B1442" s="1">
        <v>13.0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</row>
    <row r="1443">
      <c r="A1443" s="1" t="s">
        <v>1455</v>
      </c>
      <c r="B1443" s="1">
        <v>4.0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</row>
    <row r="1444">
      <c r="A1444" s="1" t="s">
        <v>1456</v>
      </c>
      <c r="B1444" s="1">
        <v>39.0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</row>
    <row r="1445">
      <c r="A1445" s="1" t="s">
        <v>1457</v>
      </c>
      <c r="B1445" s="1">
        <v>7.0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</row>
    <row r="1446">
      <c r="A1446" s="1" t="s">
        <v>1458</v>
      </c>
      <c r="B1446" s="1">
        <v>5.0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</row>
    <row r="1447">
      <c r="A1447" s="1" t="s">
        <v>1459</v>
      </c>
      <c r="B1447" s="1">
        <v>175.0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</row>
    <row r="1448">
      <c r="A1448" s="1" t="s">
        <v>1460</v>
      </c>
      <c r="B1448" s="1">
        <v>23.0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</row>
    <row r="1449">
      <c r="A1449" s="1" t="s">
        <v>1461</v>
      </c>
      <c r="B1449" s="1">
        <v>11.0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</row>
    <row r="1450">
      <c r="A1450" s="1" t="s">
        <v>1462</v>
      </c>
      <c r="B1450" s="1">
        <v>51.0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</row>
    <row r="1451">
      <c r="A1451" s="1" t="s">
        <v>1463</v>
      </c>
      <c r="B1451" s="1">
        <v>21.0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</row>
    <row r="1452">
      <c r="A1452" s="1" t="s">
        <v>1464</v>
      </c>
      <c r="B1452" s="1">
        <v>3.0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</row>
    <row r="1453">
      <c r="A1453" s="1" t="s">
        <v>1465</v>
      </c>
      <c r="B1453" s="1">
        <v>15.0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</row>
    <row r="1454">
      <c r="A1454" s="1" t="s">
        <v>1466</v>
      </c>
      <c r="B1454" s="1">
        <v>30.0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</row>
    <row r="1455">
      <c r="A1455" s="1" t="s">
        <v>1467</v>
      </c>
      <c r="B1455" s="1">
        <v>11.0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</row>
    <row r="1456">
      <c r="A1456" s="1" t="s">
        <v>1468</v>
      </c>
      <c r="B1456" s="1">
        <v>37.0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</row>
    <row r="1457">
      <c r="A1457" s="1" t="s">
        <v>1469</v>
      </c>
      <c r="B1457" s="1">
        <v>20.0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</row>
    <row r="1458">
      <c r="A1458" s="1" t="s">
        <v>1470</v>
      </c>
      <c r="B1458" s="1">
        <v>231.0</v>
      </c>
      <c r="C1458" s="1">
        <v>1.0</v>
      </c>
      <c r="D1458" s="1">
        <v>0.0</v>
      </c>
      <c r="E1458" s="1">
        <v>0.0</v>
      </c>
      <c r="F1458" s="1">
        <v>0.0</v>
      </c>
      <c r="G1458" s="1">
        <v>0.0</v>
      </c>
    </row>
    <row r="1459">
      <c r="A1459" s="1" t="s">
        <v>1471</v>
      </c>
      <c r="B1459" s="1">
        <v>15.0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</row>
    <row r="1460">
      <c r="A1460" s="1" t="s">
        <v>1472</v>
      </c>
      <c r="B1460" s="1">
        <v>8.0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</row>
    <row r="1461">
      <c r="A1461" s="1" t="s">
        <v>1473</v>
      </c>
      <c r="B1461" s="1">
        <v>16.0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</row>
    <row r="1462">
      <c r="A1462" s="1" t="s">
        <v>1474</v>
      </c>
      <c r="B1462" s="1">
        <v>65.0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</row>
    <row r="1463">
      <c r="A1463" s="1" t="s">
        <v>1475</v>
      </c>
      <c r="B1463" s="1">
        <v>766.0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</row>
    <row r="1464">
      <c r="A1464" s="1" t="s">
        <v>1476</v>
      </c>
      <c r="B1464" s="1">
        <v>10.0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</row>
    <row r="1465">
      <c r="A1465" s="1" t="s">
        <v>1477</v>
      </c>
      <c r="B1465" s="1">
        <v>58.0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</row>
    <row r="1466">
      <c r="A1466" s="1" t="s">
        <v>1478</v>
      </c>
      <c r="B1466" s="1">
        <v>333.0</v>
      </c>
      <c r="C1466" s="1">
        <v>1.0</v>
      </c>
      <c r="D1466" s="1">
        <v>0.0</v>
      </c>
      <c r="E1466" s="1">
        <v>0.0</v>
      </c>
      <c r="F1466" s="1">
        <v>0.0</v>
      </c>
      <c r="G1466" s="1">
        <v>1.0</v>
      </c>
    </row>
    <row r="1467">
      <c r="A1467" s="1" t="s">
        <v>1479</v>
      </c>
      <c r="B1467" s="1">
        <v>114.0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</row>
    <row r="1468">
      <c r="A1468" s="1" t="s">
        <v>1480</v>
      </c>
      <c r="B1468" s="1">
        <v>7.0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</row>
    <row r="1469">
      <c r="A1469" s="1" t="s">
        <v>1481</v>
      </c>
      <c r="B1469" s="1">
        <v>69.0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</row>
    <row r="1470">
      <c r="A1470" s="1" t="s">
        <v>1482</v>
      </c>
      <c r="B1470" s="1">
        <v>15.0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</row>
    <row r="1471">
      <c r="A1471" s="1" t="s">
        <v>1483</v>
      </c>
      <c r="B1471" s="1">
        <v>31.0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</row>
    <row r="1472">
      <c r="A1472" s="1" t="s">
        <v>1484</v>
      </c>
      <c r="B1472" s="1">
        <v>179.0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</row>
    <row r="1473">
      <c r="A1473" s="1" t="s">
        <v>1485</v>
      </c>
      <c r="B1473" s="1">
        <v>22.0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</row>
    <row r="1474">
      <c r="A1474" s="1" t="s">
        <v>1486</v>
      </c>
      <c r="B1474" s="1">
        <v>16.0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</row>
    <row r="1475">
      <c r="A1475" s="1" t="s">
        <v>1487</v>
      </c>
      <c r="B1475" s="1">
        <v>31.0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</row>
    <row r="1476">
      <c r="A1476" s="1" t="s">
        <v>1488</v>
      </c>
      <c r="B1476" s="1">
        <v>61.0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</row>
    <row r="1477">
      <c r="A1477" s="1" t="s">
        <v>1489</v>
      </c>
      <c r="B1477" s="1">
        <v>26.0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</row>
    <row r="1478">
      <c r="A1478" s="1" t="s">
        <v>1490</v>
      </c>
      <c r="B1478" s="1">
        <v>32.0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</row>
    <row r="1479">
      <c r="A1479" s="1" t="s">
        <v>1491</v>
      </c>
      <c r="B1479" s="1">
        <v>12.0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</row>
    <row r="1480">
      <c r="A1480" s="1" t="s">
        <v>1492</v>
      </c>
      <c r="B1480" s="1">
        <v>494.0</v>
      </c>
      <c r="C1480" s="1">
        <v>1.0</v>
      </c>
      <c r="D1480" s="1">
        <v>0.0</v>
      </c>
      <c r="E1480" s="1">
        <v>0.0</v>
      </c>
      <c r="F1480" s="1">
        <v>0.0</v>
      </c>
      <c r="G1480" s="1">
        <v>0.0</v>
      </c>
    </row>
    <row r="1481">
      <c r="A1481" s="1" t="s">
        <v>1493</v>
      </c>
      <c r="B1481" s="1">
        <v>165.0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</row>
    <row r="1482">
      <c r="A1482" s="1" t="s">
        <v>1494</v>
      </c>
      <c r="B1482" s="1">
        <v>259.0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</row>
    <row r="1483">
      <c r="A1483" s="1" t="s">
        <v>1495</v>
      </c>
      <c r="B1483" s="1">
        <v>21.0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</row>
    <row r="1484">
      <c r="A1484" s="1" t="s">
        <v>1496</v>
      </c>
      <c r="B1484" s="1">
        <v>93.0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</row>
    <row r="1485">
      <c r="A1485" s="1" t="s">
        <v>1497</v>
      </c>
      <c r="B1485" s="1">
        <v>90.0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</row>
    <row r="1486">
      <c r="A1486" s="1" t="s">
        <v>1498</v>
      </c>
      <c r="B1486" s="1">
        <v>90.0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</row>
    <row r="1487">
      <c r="A1487" s="1" t="s">
        <v>1499</v>
      </c>
      <c r="B1487" s="1">
        <v>41.0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</row>
    <row r="1488">
      <c r="A1488" s="1" t="s">
        <v>1500</v>
      </c>
      <c r="B1488" s="1">
        <v>9.0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</row>
    <row r="1489">
      <c r="A1489" s="1" t="s">
        <v>1501</v>
      </c>
      <c r="B1489" s="1">
        <v>9.0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</row>
    <row r="1490">
      <c r="A1490" s="1" t="s">
        <v>1502</v>
      </c>
      <c r="B1490" s="1">
        <v>22.0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</row>
    <row r="1491">
      <c r="A1491" s="1" t="s">
        <v>1503</v>
      </c>
      <c r="B1491" s="1">
        <v>61.0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</row>
    <row r="1492">
      <c r="A1492" s="1" t="s">
        <v>1504</v>
      </c>
      <c r="B1492" s="1">
        <v>83.0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</row>
    <row r="1493">
      <c r="A1493" s="1" t="s">
        <v>1505</v>
      </c>
      <c r="B1493" s="1">
        <v>102.0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</row>
    <row r="1494">
      <c r="A1494" s="1" t="s">
        <v>1506</v>
      </c>
      <c r="B1494" s="1">
        <v>62.0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</row>
    <row r="1495">
      <c r="A1495" s="1" t="s">
        <v>1507</v>
      </c>
      <c r="B1495" s="1">
        <v>22.0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</row>
    <row r="1496">
      <c r="A1496" s="1" t="s">
        <v>1508</v>
      </c>
      <c r="B1496" s="1">
        <v>155.0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</row>
    <row r="1497">
      <c r="A1497" s="1" t="s">
        <v>1509</v>
      </c>
      <c r="B1497" s="1">
        <v>2.0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</row>
    <row r="1498">
      <c r="A1498" s="1" t="s">
        <v>1510</v>
      </c>
      <c r="B1498" s="1">
        <v>25.0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</row>
    <row r="1499">
      <c r="A1499" s="1" t="s">
        <v>1511</v>
      </c>
      <c r="B1499" s="1">
        <v>9.0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</row>
    <row r="1500">
      <c r="A1500" s="1" t="s">
        <v>1512</v>
      </c>
      <c r="B1500" s="1">
        <v>31.0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</row>
    <row r="1501">
      <c r="A1501" s="1" t="s">
        <v>1513</v>
      </c>
      <c r="B1501" s="1">
        <v>42.0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</row>
    <row r="1502">
      <c r="A1502" s="1" t="s">
        <v>1514</v>
      </c>
      <c r="B1502" s="1">
        <v>19.0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</row>
    <row r="1503">
      <c r="A1503" s="1" t="s">
        <v>1515</v>
      </c>
      <c r="B1503" s="1">
        <v>26.0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</row>
    <row r="1504">
      <c r="A1504" s="1" t="s">
        <v>1516</v>
      </c>
      <c r="B1504" s="1">
        <v>46.0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</row>
    <row r="1505">
      <c r="A1505" s="1" t="s">
        <v>1517</v>
      </c>
      <c r="B1505" s="1">
        <v>4.0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</row>
    <row r="1506">
      <c r="A1506" s="1" t="s">
        <v>1518</v>
      </c>
      <c r="B1506" s="1">
        <v>21.0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</row>
    <row r="1507">
      <c r="A1507" s="1" t="s">
        <v>1519</v>
      </c>
      <c r="B1507" s="1">
        <v>20.0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</row>
    <row r="1508">
      <c r="A1508" s="1" t="s">
        <v>1520</v>
      </c>
      <c r="B1508" s="1">
        <v>39.0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</row>
    <row r="1509">
      <c r="A1509" s="1" t="s">
        <v>1521</v>
      </c>
      <c r="B1509" s="1">
        <v>44.0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</row>
    <row r="1510">
      <c r="A1510" s="1" t="s">
        <v>1522</v>
      </c>
      <c r="B1510" s="1">
        <v>5.0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</row>
    <row r="1511">
      <c r="A1511" s="1" t="s">
        <v>1523</v>
      </c>
      <c r="B1511" s="1">
        <v>43.0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</row>
    <row r="1512">
      <c r="A1512" s="1" t="s">
        <v>1524</v>
      </c>
      <c r="B1512" s="1">
        <v>33.0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</row>
    <row r="1513">
      <c r="A1513" s="1" t="s">
        <v>1525</v>
      </c>
      <c r="B1513" s="1">
        <v>34.0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</row>
    <row r="1514">
      <c r="A1514" s="1" t="s">
        <v>1526</v>
      </c>
      <c r="B1514" s="1">
        <v>174.0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</row>
    <row r="1515">
      <c r="A1515" s="1" t="s">
        <v>1527</v>
      </c>
      <c r="B1515" s="1">
        <v>47.0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</row>
    <row r="1516">
      <c r="A1516" s="1" t="s">
        <v>1528</v>
      </c>
      <c r="B1516" s="1">
        <v>15.0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</row>
    <row r="1517">
      <c r="A1517" s="1" t="s">
        <v>1529</v>
      </c>
      <c r="B1517" s="1">
        <v>9.0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</row>
    <row r="1518">
      <c r="A1518" s="1" t="s">
        <v>1530</v>
      </c>
      <c r="B1518" s="1">
        <v>40.0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</row>
    <row r="1519">
      <c r="A1519" s="1" t="s">
        <v>1531</v>
      </c>
      <c r="B1519" s="1">
        <v>504.0</v>
      </c>
      <c r="C1519" s="1">
        <v>10.0</v>
      </c>
      <c r="D1519" s="1">
        <v>0.0</v>
      </c>
      <c r="E1519" s="1">
        <v>0.0</v>
      </c>
      <c r="F1519" s="1">
        <v>0.0</v>
      </c>
      <c r="G1519" s="1">
        <v>6.0</v>
      </c>
    </row>
    <row r="1520">
      <c r="A1520" s="1" t="s">
        <v>1532</v>
      </c>
      <c r="B1520" s="1">
        <v>23.0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</row>
    <row r="1521">
      <c r="A1521" s="1" t="s">
        <v>1533</v>
      </c>
      <c r="B1521" s="1">
        <v>21.0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</row>
    <row r="1522">
      <c r="A1522" s="1" t="s">
        <v>1534</v>
      </c>
      <c r="B1522" s="1">
        <v>10.0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</row>
    <row r="1523">
      <c r="A1523" s="1" t="s">
        <v>1535</v>
      </c>
      <c r="B1523" s="1">
        <v>73.0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</row>
    <row r="1524">
      <c r="A1524" s="1" t="s">
        <v>1536</v>
      </c>
      <c r="B1524" s="1">
        <v>124.0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</row>
    <row r="1525">
      <c r="A1525" s="1" t="s">
        <v>1537</v>
      </c>
      <c r="B1525" s="1">
        <v>13.0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</row>
    <row r="1526">
      <c r="A1526" s="1" t="s">
        <v>1538</v>
      </c>
      <c r="B1526" s="1">
        <v>28.0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</row>
    <row r="1527">
      <c r="A1527" s="1" t="s">
        <v>1539</v>
      </c>
      <c r="B1527" s="1">
        <v>37.0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</row>
    <row r="1528">
      <c r="A1528" s="1" t="s">
        <v>1540</v>
      </c>
      <c r="B1528" s="1">
        <v>31.0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</row>
    <row r="1529">
      <c r="A1529" s="1" t="s">
        <v>1541</v>
      </c>
      <c r="B1529" s="1">
        <v>130.0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</row>
    <row r="1530">
      <c r="A1530" s="1" t="s">
        <v>1542</v>
      </c>
      <c r="B1530" s="1">
        <v>72.0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</row>
    <row r="1531">
      <c r="A1531" s="1" t="s">
        <v>1543</v>
      </c>
      <c r="B1531" s="1">
        <v>20.0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</row>
    <row r="1532">
      <c r="A1532" s="1" t="s">
        <v>1544</v>
      </c>
      <c r="B1532" s="1">
        <v>25.0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</row>
    <row r="1533">
      <c r="A1533" s="1" t="s">
        <v>1545</v>
      </c>
      <c r="B1533" s="1">
        <v>22.0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</row>
    <row r="1534">
      <c r="A1534" s="1" t="s">
        <v>1546</v>
      </c>
      <c r="B1534" s="1">
        <v>90.0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</row>
    <row r="1535">
      <c r="A1535" s="1" t="s">
        <v>1547</v>
      </c>
      <c r="B1535" s="1">
        <v>50.0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</row>
    <row r="1536">
      <c r="A1536" s="1" t="s">
        <v>1548</v>
      </c>
      <c r="B1536" s="1">
        <v>22.0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</row>
    <row r="1537">
      <c r="A1537" s="1" t="s">
        <v>1549</v>
      </c>
      <c r="B1537" s="1">
        <v>16.0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</row>
    <row r="1538">
      <c r="A1538" s="1" t="s">
        <v>1550</v>
      </c>
      <c r="B1538" s="1">
        <v>11.0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</row>
    <row r="1539">
      <c r="A1539" s="1" t="s">
        <v>1551</v>
      </c>
      <c r="B1539" s="1">
        <v>36.0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</row>
    <row r="1540">
      <c r="A1540" s="1" t="s">
        <v>1552</v>
      </c>
      <c r="B1540" s="1">
        <v>55.0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</row>
    <row r="1541">
      <c r="A1541" s="1" t="s">
        <v>1553</v>
      </c>
      <c r="B1541" s="1">
        <v>14.0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</row>
    <row r="1542">
      <c r="A1542" s="1" t="s">
        <v>1554</v>
      </c>
      <c r="B1542" s="1">
        <v>12.0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</row>
    <row r="1543">
      <c r="A1543" s="1" t="s">
        <v>1555</v>
      </c>
      <c r="B1543" s="1">
        <v>49.0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</row>
    <row r="1544">
      <c r="A1544" s="1" t="s">
        <v>1556</v>
      </c>
      <c r="B1544" s="1">
        <v>17.0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</row>
    <row r="1545">
      <c r="A1545" s="1" t="s">
        <v>1557</v>
      </c>
      <c r="B1545" s="1">
        <v>126.0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</row>
    <row r="1546">
      <c r="A1546" s="1" t="s">
        <v>1558</v>
      </c>
      <c r="B1546" s="1">
        <v>62.0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</row>
    <row r="1547">
      <c r="A1547" s="1" t="s">
        <v>1559</v>
      </c>
      <c r="B1547" s="1">
        <v>38.0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</row>
    <row r="1548">
      <c r="A1548" s="1" t="s">
        <v>1560</v>
      </c>
      <c r="B1548" s="1">
        <v>69.0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</row>
    <row r="1549">
      <c r="A1549" s="1" t="s">
        <v>1561</v>
      </c>
      <c r="B1549" s="1">
        <v>17.0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</row>
    <row r="1550">
      <c r="A1550" s="1" t="s">
        <v>1562</v>
      </c>
      <c r="B1550" s="1">
        <v>85.0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</row>
    <row r="1551">
      <c r="A1551" s="1" t="s">
        <v>1563</v>
      </c>
      <c r="B1551" s="1">
        <v>32.0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</row>
    <row r="1552">
      <c r="A1552" s="1" t="s">
        <v>1564</v>
      </c>
      <c r="B1552" s="1">
        <v>7.0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</row>
    <row r="1553">
      <c r="A1553" s="1" t="s">
        <v>1565</v>
      </c>
      <c r="B1553" s="1">
        <v>331.0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</row>
    <row r="1554">
      <c r="A1554" s="1" t="s">
        <v>1566</v>
      </c>
      <c r="B1554" s="1">
        <v>192.0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</row>
    <row r="1555">
      <c r="A1555" s="1" t="s">
        <v>1567</v>
      </c>
      <c r="B1555" s="1">
        <v>16.0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</row>
    <row r="1556">
      <c r="A1556" s="1" t="s">
        <v>1568</v>
      </c>
      <c r="B1556" s="1">
        <v>5.0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</row>
    <row r="1557">
      <c r="A1557" s="1" t="s">
        <v>1569</v>
      </c>
      <c r="B1557" s="1">
        <v>44.0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</row>
    <row r="1558">
      <c r="A1558" s="1" t="s">
        <v>1570</v>
      </c>
      <c r="B1558" s="1">
        <v>80.0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</row>
    <row r="1559">
      <c r="A1559" s="1" t="s">
        <v>1571</v>
      </c>
      <c r="B1559" s="1">
        <v>17.0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</row>
    <row r="1560">
      <c r="A1560" s="1" t="s">
        <v>1572</v>
      </c>
      <c r="B1560" s="1">
        <v>55.0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</row>
    <row r="1561">
      <c r="A1561" s="1" t="s">
        <v>1573</v>
      </c>
      <c r="B1561" s="1">
        <v>27.0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</row>
    <row r="1562">
      <c r="A1562" s="1" t="s">
        <v>1574</v>
      </c>
      <c r="B1562" s="1">
        <v>34.0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</row>
    <row r="1563">
      <c r="A1563" s="1" t="s">
        <v>1575</v>
      </c>
      <c r="B1563" s="1">
        <v>21.0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</row>
    <row r="1564">
      <c r="A1564" s="1" t="s">
        <v>1576</v>
      </c>
      <c r="B1564" s="1">
        <v>110.0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</row>
    <row r="1565">
      <c r="A1565" s="1" t="s">
        <v>1577</v>
      </c>
      <c r="B1565" s="1">
        <v>18.0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</row>
    <row r="1566">
      <c r="A1566" s="1" t="s">
        <v>1578</v>
      </c>
      <c r="B1566" s="1">
        <v>155.0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</row>
    <row r="1567">
      <c r="A1567" s="1" t="s">
        <v>1579</v>
      </c>
      <c r="B1567" s="1">
        <v>86.0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</row>
    <row r="1568">
      <c r="A1568" s="1" t="s">
        <v>1580</v>
      </c>
      <c r="B1568" s="1">
        <v>37.0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</row>
    <row r="1569">
      <c r="A1569" s="1" t="s">
        <v>1581</v>
      </c>
      <c r="B1569" s="1">
        <v>46.0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</row>
    <row r="1570">
      <c r="A1570" s="1" t="s">
        <v>1582</v>
      </c>
      <c r="B1570" s="1">
        <v>47.0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</row>
    <row r="1571">
      <c r="A1571" s="1" t="s">
        <v>1583</v>
      </c>
      <c r="B1571" s="1">
        <v>56.0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</row>
    <row r="1572">
      <c r="A1572" s="1" t="s">
        <v>1584</v>
      </c>
      <c r="B1572" s="1">
        <v>44.0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</row>
    <row r="1573">
      <c r="A1573" s="1" t="s">
        <v>1585</v>
      </c>
      <c r="B1573" s="1">
        <v>8.0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</row>
    <row r="1574">
      <c r="A1574" s="1" t="s">
        <v>1586</v>
      </c>
      <c r="B1574" s="1">
        <v>4.0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</row>
    <row r="1575">
      <c r="A1575" s="1" t="s">
        <v>1587</v>
      </c>
      <c r="B1575" s="1">
        <v>29.0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</row>
    <row r="1576">
      <c r="A1576" s="1" t="s">
        <v>1588</v>
      </c>
      <c r="B1576" s="1">
        <v>12.0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</row>
    <row r="1577">
      <c r="A1577" s="1" t="s">
        <v>1589</v>
      </c>
      <c r="B1577" s="1">
        <v>29.0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</row>
    <row r="1578">
      <c r="A1578" s="1" t="s">
        <v>1590</v>
      </c>
      <c r="B1578" s="1">
        <v>72.0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</row>
    <row r="1579">
      <c r="A1579" s="1" t="s">
        <v>1591</v>
      </c>
      <c r="B1579" s="1">
        <v>330.0</v>
      </c>
      <c r="C1579" s="1">
        <v>1.0</v>
      </c>
      <c r="D1579" s="1">
        <v>0.0</v>
      </c>
      <c r="E1579" s="1">
        <v>0.0</v>
      </c>
      <c r="F1579" s="1">
        <v>0.0</v>
      </c>
      <c r="G1579" s="1">
        <v>1.0</v>
      </c>
    </row>
    <row r="1580">
      <c r="A1580" s="1" t="s">
        <v>1592</v>
      </c>
      <c r="B1580" s="1">
        <v>21.0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</row>
    <row r="1581">
      <c r="A1581" s="1" t="s">
        <v>1593</v>
      </c>
      <c r="B1581" s="1">
        <v>102.0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</row>
    <row r="1582">
      <c r="A1582" s="1" t="s">
        <v>1594</v>
      </c>
      <c r="B1582" s="1">
        <v>83.0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</row>
    <row r="1583">
      <c r="A1583" s="1" t="s">
        <v>1595</v>
      </c>
      <c r="B1583" s="1">
        <v>73.0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</row>
    <row r="1584">
      <c r="A1584" s="1" t="s">
        <v>1596</v>
      </c>
      <c r="B1584" s="1">
        <v>18.0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</row>
    <row r="1585">
      <c r="A1585" s="1" t="s">
        <v>1597</v>
      </c>
      <c r="B1585" s="1">
        <v>60.0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</row>
    <row r="1586">
      <c r="A1586" s="1" t="s">
        <v>1598</v>
      </c>
      <c r="B1586" s="1">
        <v>209.0</v>
      </c>
      <c r="C1586" s="1">
        <v>1.0</v>
      </c>
      <c r="D1586" s="1">
        <v>0.0</v>
      </c>
      <c r="E1586" s="1">
        <v>0.0</v>
      </c>
      <c r="F1586" s="1">
        <v>0.0</v>
      </c>
      <c r="G1586" s="1">
        <v>1.0</v>
      </c>
    </row>
    <row r="1587">
      <c r="A1587" s="1" t="s">
        <v>1599</v>
      </c>
      <c r="B1587" s="1">
        <v>22.0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</row>
    <row r="1588">
      <c r="A1588" s="1" t="s">
        <v>1600</v>
      </c>
      <c r="B1588" s="1">
        <v>52.0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</row>
    <row r="1589">
      <c r="A1589" s="1" t="s">
        <v>1601</v>
      </c>
      <c r="B1589" s="1">
        <v>858.0</v>
      </c>
      <c r="C1589" s="1">
        <v>9.0</v>
      </c>
      <c r="D1589" s="1">
        <v>2.0</v>
      </c>
      <c r="E1589" s="1">
        <v>1.0</v>
      </c>
      <c r="F1589" s="1">
        <v>0.0</v>
      </c>
      <c r="G1589" s="1">
        <v>3.0</v>
      </c>
    </row>
    <row r="1590">
      <c r="A1590" s="1" t="s">
        <v>1602</v>
      </c>
      <c r="B1590" s="1">
        <v>31.0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</row>
    <row r="1591">
      <c r="A1591" s="1" t="s">
        <v>1603</v>
      </c>
      <c r="B1591" s="1">
        <v>22.0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</row>
    <row r="1592">
      <c r="A1592" s="1" t="s">
        <v>1604</v>
      </c>
      <c r="B1592" s="1">
        <v>20.0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</row>
    <row r="1593">
      <c r="A1593" s="1" t="s">
        <v>1605</v>
      </c>
      <c r="B1593" s="1">
        <v>5.0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</row>
    <row r="1594">
      <c r="A1594" s="1" t="s">
        <v>1606</v>
      </c>
      <c r="B1594" s="1">
        <v>28.0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</row>
    <row r="1595">
      <c r="A1595" s="1" t="s">
        <v>1607</v>
      </c>
      <c r="B1595" s="1">
        <v>10.0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</row>
    <row r="1596">
      <c r="A1596" s="1" t="s">
        <v>1608</v>
      </c>
      <c r="B1596" s="1">
        <v>986.0</v>
      </c>
      <c r="C1596" s="1">
        <v>12.0</v>
      </c>
      <c r="D1596" s="1">
        <v>0.0</v>
      </c>
      <c r="E1596" s="1">
        <v>1.0</v>
      </c>
      <c r="F1596" s="1">
        <v>0.0</v>
      </c>
      <c r="G1596" s="1">
        <v>3.0</v>
      </c>
    </row>
    <row r="1597">
      <c r="A1597" s="1" t="s">
        <v>1609</v>
      </c>
      <c r="B1597" s="1">
        <v>55.0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</row>
    <row r="1598">
      <c r="A1598" s="1" t="s">
        <v>1610</v>
      </c>
      <c r="B1598" s="1">
        <v>39.0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</row>
    <row r="1599">
      <c r="A1599" s="1" t="s">
        <v>1611</v>
      </c>
      <c r="B1599" s="1">
        <v>58.0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</row>
    <row r="1600">
      <c r="A1600" s="1" t="s">
        <v>1612</v>
      </c>
      <c r="B1600" s="1">
        <v>44.0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</row>
    <row r="1601">
      <c r="A1601" s="1" t="s">
        <v>1613</v>
      </c>
      <c r="B1601" s="1">
        <v>32.0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</row>
    <row r="1602">
      <c r="A1602" s="1" t="s">
        <v>1614</v>
      </c>
      <c r="B1602" s="1">
        <v>44.0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</row>
    <row r="1603">
      <c r="A1603" s="1" t="s">
        <v>1615</v>
      </c>
      <c r="B1603" s="1">
        <v>30.0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</row>
    <row r="1604">
      <c r="A1604" s="1" t="s">
        <v>1616</v>
      </c>
      <c r="B1604" s="1">
        <v>10.0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</row>
    <row r="1605">
      <c r="A1605" s="1" t="s">
        <v>1617</v>
      </c>
      <c r="B1605" s="1">
        <v>86.0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</row>
    <row r="1606">
      <c r="A1606" s="1" t="s">
        <v>1618</v>
      </c>
      <c r="B1606" s="1">
        <v>24.0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</row>
    <row r="1607">
      <c r="A1607" s="1" t="s">
        <v>1619</v>
      </c>
      <c r="B1607" s="1">
        <v>21.0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</row>
    <row r="1608">
      <c r="A1608" s="1" t="s">
        <v>1620</v>
      </c>
      <c r="B1608" s="1">
        <v>32.0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</row>
    <row r="1609">
      <c r="A1609" s="1" t="s">
        <v>1621</v>
      </c>
      <c r="B1609" s="1">
        <v>40.0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</row>
    <row r="1610">
      <c r="A1610" s="1" t="s">
        <v>1622</v>
      </c>
      <c r="B1610" s="1">
        <v>47.0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</row>
    <row r="1611">
      <c r="A1611" s="1" t="s">
        <v>1623</v>
      </c>
      <c r="B1611" s="1">
        <v>12.0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</row>
    <row r="1612">
      <c r="A1612" s="1" t="s">
        <v>1624</v>
      </c>
      <c r="B1612" s="1">
        <v>22.0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</row>
    <row r="1613">
      <c r="A1613" s="1" t="s">
        <v>1625</v>
      </c>
      <c r="B1613" s="1">
        <v>24.0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</row>
    <row r="1614">
      <c r="A1614" s="1" t="s">
        <v>1626</v>
      </c>
      <c r="B1614" s="1">
        <v>35.0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</row>
    <row r="1615">
      <c r="A1615" s="1" t="s">
        <v>1627</v>
      </c>
      <c r="B1615" s="1">
        <v>101.0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</row>
    <row r="1616">
      <c r="A1616" s="1" t="s">
        <v>1628</v>
      </c>
      <c r="B1616" s="1">
        <v>108.0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</row>
    <row r="1617">
      <c r="A1617" s="1" t="s">
        <v>1629</v>
      </c>
      <c r="B1617" s="1">
        <v>146.0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</row>
    <row r="1618">
      <c r="A1618" s="1" t="s">
        <v>1630</v>
      </c>
      <c r="B1618" s="1">
        <v>38.0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</row>
    <row r="1619">
      <c r="A1619" s="1" t="s">
        <v>1631</v>
      </c>
      <c r="B1619" s="1">
        <v>4.0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</row>
    <row r="1620">
      <c r="A1620" s="1" t="s">
        <v>1632</v>
      </c>
      <c r="B1620" s="1">
        <v>36.0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</row>
    <row r="1621">
      <c r="A1621" s="1" t="s">
        <v>1633</v>
      </c>
      <c r="B1621" s="1">
        <v>71.0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</row>
    <row r="1622">
      <c r="A1622" s="1" t="s">
        <v>1634</v>
      </c>
      <c r="B1622" s="1">
        <v>32.0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</row>
    <row r="1623">
      <c r="A1623" s="1" t="s">
        <v>1635</v>
      </c>
      <c r="B1623" s="1">
        <v>16.0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</row>
    <row r="1624">
      <c r="A1624" s="1" t="s">
        <v>1636</v>
      </c>
      <c r="B1624" s="1">
        <v>35.0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</row>
    <row r="1625">
      <c r="A1625" s="1" t="s">
        <v>1637</v>
      </c>
      <c r="B1625" s="1">
        <v>49.0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</row>
    <row r="1626">
      <c r="A1626" s="1" t="s">
        <v>1638</v>
      </c>
      <c r="B1626" s="1">
        <v>39.0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</row>
    <row r="1627">
      <c r="A1627" s="1" t="s">
        <v>1639</v>
      </c>
      <c r="B1627" s="1">
        <v>17.0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</row>
    <row r="1628">
      <c r="A1628" s="1" t="s">
        <v>1640</v>
      </c>
      <c r="B1628" s="1">
        <v>99.0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</row>
    <row r="1629">
      <c r="A1629" s="1" t="s">
        <v>1641</v>
      </c>
      <c r="B1629" s="1">
        <v>12.0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</row>
    <row r="1630">
      <c r="A1630" s="1" t="s">
        <v>1642</v>
      </c>
      <c r="B1630" s="1">
        <v>16.0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</row>
    <row r="1631">
      <c r="A1631" s="1" t="s">
        <v>1643</v>
      </c>
      <c r="B1631" s="1">
        <v>74.0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</row>
    <row r="1632">
      <c r="A1632" s="1" t="s">
        <v>1644</v>
      </c>
      <c r="B1632" s="1">
        <v>39.0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</row>
    <row r="1633">
      <c r="A1633" s="1" t="s">
        <v>1645</v>
      </c>
      <c r="B1633" s="1">
        <v>34.0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</row>
    <row r="1634">
      <c r="A1634" s="1" t="s">
        <v>1646</v>
      </c>
      <c r="B1634" s="1">
        <v>67.0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</row>
    <row r="1635">
      <c r="A1635" s="1" t="s">
        <v>1647</v>
      </c>
      <c r="B1635" s="1">
        <v>124.0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</row>
    <row r="1636">
      <c r="A1636" s="1" t="s">
        <v>1648</v>
      </c>
      <c r="B1636" s="1">
        <v>151.0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</row>
    <row r="1637">
      <c r="A1637" s="1" t="s">
        <v>1649</v>
      </c>
      <c r="B1637" s="1">
        <v>31.0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</row>
    <row r="1638">
      <c r="A1638" s="1" t="s">
        <v>1650</v>
      </c>
      <c r="B1638" s="1">
        <v>120.0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</row>
    <row r="1639">
      <c r="A1639" s="1" t="s">
        <v>1651</v>
      </c>
      <c r="B1639" s="1">
        <v>13.0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</row>
    <row r="1640">
      <c r="A1640" s="1" t="s">
        <v>1652</v>
      </c>
      <c r="B1640" s="1">
        <v>36.0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</row>
    <row r="1641">
      <c r="A1641" s="1" t="s">
        <v>1653</v>
      </c>
      <c r="B1641" s="1">
        <v>20.0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</row>
    <row r="1642">
      <c r="A1642" s="1" t="s">
        <v>1654</v>
      </c>
      <c r="B1642" s="1">
        <v>50.0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</row>
    <row r="1643">
      <c r="A1643" s="1" t="s">
        <v>1655</v>
      </c>
      <c r="B1643" s="1">
        <v>9.0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</row>
    <row r="1644">
      <c r="A1644" s="1" t="s">
        <v>1656</v>
      </c>
      <c r="B1644" s="1">
        <v>15.0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</row>
    <row r="1645">
      <c r="A1645" s="1" t="s">
        <v>1657</v>
      </c>
      <c r="B1645" s="1">
        <v>161.0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</row>
    <row r="1646">
      <c r="A1646" s="1" t="s">
        <v>1658</v>
      </c>
      <c r="B1646" s="1">
        <v>19.0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</row>
    <row r="1647">
      <c r="A1647" s="1" t="s">
        <v>1659</v>
      </c>
      <c r="B1647" s="1">
        <v>44.0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</row>
    <row r="1648">
      <c r="A1648" s="1" t="s">
        <v>1660</v>
      </c>
      <c r="B1648" s="1">
        <v>43.0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</row>
    <row r="1649">
      <c r="A1649" s="1" t="s">
        <v>1661</v>
      </c>
      <c r="B1649" s="1">
        <v>118.0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</row>
    <row r="1650">
      <c r="A1650" s="1" t="s">
        <v>1662</v>
      </c>
      <c r="B1650" s="1">
        <v>24.0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</row>
    <row r="1651">
      <c r="A1651" s="1" t="s">
        <v>1663</v>
      </c>
      <c r="B1651" s="1">
        <v>15.0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</row>
    <row r="1652">
      <c r="A1652" s="1" t="s">
        <v>1664</v>
      </c>
      <c r="B1652" s="1">
        <v>46.0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</row>
    <row r="1653">
      <c r="A1653" s="1" t="s">
        <v>1665</v>
      </c>
      <c r="B1653" s="1">
        <v>16.0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</row>
    <row r="1654">
      <c r="A1654" s="1" t="s">
        <v>1666</v>
      </c>
      <c r="B1654" s="1">
        <v>33.0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</row>
    <row r="1655">
      <c r="A1655" s="1" t="s">
        <v>1667</v>
      </c>
      <c r="B1655" s="1">
        <v>28.0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</row>
    <row r="1656">
      <c r="A1656" s="1" t="s">
        <v>1668</v>
      </c>
      <c r="B1656" s="1">
        <v>60.0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</row>
    <row r="1657">
      <c r="A1657" s="1" t="s">
        <v>1669</v>
      </c>
      <c r="B1657" s="1">
        <v>265.0</v>
      </c>
      <c r="C1657" s="1">
        <v>1.0</v>
      </c>
      <c r="D1657" s="1">
        <v>0.0</v>
      </c>
      <c r="E1657" s="1">
        <v>0.0</v>
      </c>
      <c r="F1657" s="1">
        <v>0.0</v>
      </c>
      <c r="G1657" s="1">
        <v>0.0</v>
      </c>
    </row>
    <row r="1658">
      <c r="A1658" s="1" t="s">
        <v>1670</v>
      </c>
      <c r="B1658" s="1">
        <v>17.0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</row>
    <row r="1659">
      <c r="A1659" s="1" t="s">
        <v>1671</v>
      </c>
      <c r="B1659" s="1">
        <v>127.0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</row>
    <row r="1660">
      <c r="A1660" s="1" t="s">
        <v>1672</v>
      </c>
      <c r="B1660" s="1">
        <v>66.0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</row>
    <row r="1661">
      <c r="A1661" s="1" t="s">
        <v>1673</v>
      </c>
      <c r="B1661" s="1">
        <v>79.0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</row>
    <row r="1662">
      <c r="A1662" s="1" t="s">
        <v>1674</v>
      </c>
      <c r="B1662" s="1">
        <v>93.0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</row>
    <row r="1663">
      <c r="A1663" s="1" t="s">
        <v>1675</v>
      </c>
      <c r="B1663" s="1">
        <v>83.0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</row>
    <row r="1664">
      <c r="A1664" s="1" t="s">
        <v>1676</v>
      </c>
      <c r="B1664" s="1">
        <v>9.0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</row>
    <row r="1665">
      <c r="A1665" s="1" t="s">
        <v>1677</v>
      </c>
      <c r="B1665" s="1">
        <v>10.0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</row>
    <row r="1666">
      <c r="A1666" s="1" t="s">
        <v>1678</v>
      </c>
      <c r="B1666" s="1">
        <v>24.0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</row>
    <row r="1667">
      <c r="A1667" s="1" t="s">
        <v>1679</v>
      </c>
      <c r="B1667" s="1">
        <v>22.0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</row>
    <row r="1668">
      <c r="A1668" s="1" t="s">
        <v>1680</v>
      </c>
      <c r="B1668" s="1">
        <v>7.0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</row>
    <row r="1669">
      <c r="A1669" s="1" t="s">
        <v>1681</v>
      </c>
      <c r="B1669" s="1">
        <v>99.0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</row>
    <row r="1670">
      <c r="A1670" s="1" t="s">
        <v>1682</v>
      </c>
      <c r="B1670" s="1">
        <v>45.0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</row>
    <row r="1671">
      <c r="A1671" s="1" t="s">
        <v>1683</v>
      </c>
      <c r="B1671" s="1">
        <v>24.0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</row>
    <row r="1672">
      <c r="A1672" s="1" t="s">
        <v>1684</v>
      </c>
      <c r="B1672" s="1">
        <v>66.0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</row>
    <row r="1673">
      <c r="A1673" s="1" t="s">
        <v>1685</v>
      </c>
      <c r="B1673" s="1">
        <v>135.0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</row>
    <row r="1674">
      <c r="A1674" s="1" t="s">
        <v>1686</v>
      </c>
      <c r="B1674" s="1">
        <v>75.0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</row>
    <row r="1675">
      <c r="A1675" s="1" t="s">
        <v>1687</v>
      </c>
      <c r="B1675" s="1">
        <v>41.0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</row>
    <row r="1676">
      <c r="A1676" s="1" t="s">
        <v>1688</v>
      </c>
      <c r="B1676" s="1">
        <v>28.0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</row>
    <row r="1677">
      <c r="A1677" s="1" t="s">
        <v>1689</v>
      </c>
      <c r="B1677" s="1">
        <v>12.0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</row>
    <row r="1678">
      <c r="A1678" s="1" t="s">
        <v>1690</v>
      </c>
      <c r="B1678" s="1">
        <v>23.0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</row>
    <row r="1679">
      <c r="A1679" s="1" t="s">
        <v>1691</v>
      </c>
      <c r="B1679" s="1">
        <v>23.0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</row>
    <row r="1680">
      <c r="A1680" s="1" t="s">
        <v>1692</v>
      </c>
      <c r="B1680" s="1">
        <v>47.0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</row>
    <row r="1681">
      <c r="A1681" s="1" t="s">
        <v>1693</v>
      </c>
      <c r="B1681" s="1">
        <v>26.0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</row>
    <row r="1682">
      <c r="A1682" s="1" t="s">
        <v>1694</v>
      </c>
      <c r="B1682" s="1">
        <v>27.0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</row>
    <row r="1683">
      <c r="A1683" s="1" t="s">
        <v>1695</v>
      </c>
      <c r="B1683" s="1">
        <v>25.0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</row>
    <row r="1684">
      <c r="A1684" s="1" t="s">
        <v>1696</v>
      </c>
      <c r="B1684" s="1">
        <v>55.0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</row>
    <row r="1685">
      <c r="A1685" s="1" t="s">
        <v>1697</v>
      </c>
      <c r="B1685" s="1">
        <v>46.0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</row>
    <row r="1686">
      <c r="A1686" s="1" t="s">
        <v>1698</v>
      </c>
      <c r="B1686" s="1">
        <v>126.0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</row>
    <row r="1687">
      <c r="A1687" s="1" t="s">
        <v>1699</v>
      </c>
      <c r="B1687" s="1">
        <v>19.0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</row>
    <row r="1688">
      <c r="A1688" s="1" t="s">
        <v>1700</v>
      </c>
      <c r="B1688" s="1">
        <v>3.0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</row>
    <row r="1689">
      <c r="A1689" s="1" t="s">
        <v>1701</v>
      </c>
      <c r="B1689" s="1">
        <v>26.0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</row>
    <row r="1690">
      <c r="A1690" s="1" t="s">
        <v>1702</v>
      </c>
      <c r="B1690" s="1">
        <v>18.0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</row>
    <row r="1691">
      <c r="A1691" s="1" t="s">
        <v>1703</v>
      </c>
      <c r="B1691" s="1">
        <v>7.0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</row>
    <row r="1692">
      <c r="A1692" s="1" t="s">
        <v>1704</v>
      </c>
      <c r="B1692" s="1">
        <v>18.0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</row>
    <row r="1693">
      <c r="A1693" s="1" t="s">
        <v>1705</v>
      </c>
      <c r="B1693" s="1">
        <v>19.0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</row>
    <row r="1694">
      <c r="A1694" s="1" t="s">
        <v>1706</v>
      </c>
      <c r="B1694" s="1">
        <v>117.0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</row>
    <row r="1695">
      <c r="A1695" s="1" t="s">
        <v>1707</v>
      </c>
      <c r="B1695" s="1">
        <v>4.0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</row>
    <row r="1696">
      <c r="A1696" s="1" t="s">
        <v>1708</v>
      </c>
      <c r="B1696" s="1">
        <v>32.0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</row>
    <row r="1697">
      <c r="A1697" s="1" t="s">
        <v>1709</v>
      </c>
      <c r="B1697" s="1">
        <v>23.0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</row>
    <row r="1698">
      <c r="A1698" s="1" t="s">
        <v>1710</v>
      </c>
      <c r="B1698" s="1">
        <v>14.0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</row>
    <row r="1699">
      <c r="A1699" s="1" t="s">
        <v>1711</v>
      </c>
      <c r="B1699" s="1">
        <v>20.0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</row>
    <row r="1700">
      <c r="A1700" s="1" t="s">
        <v>1712</v>
      </c>
      <c r="B1700" s="1">
        <v>63.0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</row>
    <row r="1701">
      <c r="A1701" s="1" t="s">
        <v>1713</v>
      </c>
      <c r="B1701" s="1">
        <v>134.0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</row>
    <row r="1702">
      <c r="A1702" s="1" t="s">
        <v>1714</v>
      </c>
      <c r="B1702" s="1">
        <v>122.0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</row>
    <row r="1703">
      <c r="A1703" s="1" t="s">
        <v>1715</v>
      </c>
      <c r="B1703" s="1">
        <v>70.0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</row>
    <row r="1704">
      <c r="A1704" s="1" t="s">
        <v>1716</v>
      </c>
      <c r="B1704" s="1">
        <v>94.0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</row>
    <row r="1705">
      <c r="A1705" s="1" t="s">
        <v>1717</v>
      </c>
      <c r="B1705" s="1">
        <v>42.0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</row>
    <row r="1706">
      <c r="A1706" s="1" t="s">
        <v>1718</v>
      </c>
      <c r="B1706" s="1">
        <v>46.0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</row>
    <row r="1707">
      <c r="A1707" s="1" t="s">
        <v>1719</v>
      </c>
      <c r="B1707" s="1">
        <v>97.0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</row>
    <row r="1708">
      <c r="A1708" s="1" t="s">
        <v>1720</v>
      </c>
      <c r="B1708" s="1">
        <v>139.0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</row>
    <row r="1709">
      <c r="A1709" s="1" t="s">
        <v>1721</v>
      </c>
      <c r="B1709" s="1">
        <v>341.0</v>
      </c>
      <c r="C1709" s="1">
        <v>5.0</v>
      </c>
      <c r="D1709" s="1">
        <v>0.0</v>
      </c>
      <c r="E1709" s="1">
        <v>1.0</v>
      </c>
      <c r="F1709" s="1">
        <v>0.0</v>
      </c>
      <c r="G1709" s="1">
        <v>1.0</v>
      </c>
    </row>
    <row r="1710">
      <c r="A1710" s="1" t="s">
        <v>1722</v>
      </c>
      <c r="B1710" s="1">
        <v>29.0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</row>
    <row r="1711">
      <c r="A1711" s="1" t="s">
        <v>1723</v>
      </c>
      <c r="B1711" s="1">
        <v>75.0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</row>
    <row r="1712">
      <c r="A1712" s="1" t="s">
        <v>1724</v>
      </c>
      <c r="B1712" s="1">
        <v>74.0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</row>
    <row r="1713">
      <c r="A1713" s="1" t="s">
        <v>1725</v>
      </c>
      <c r="B1713" s="1">
        <v>24.0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</row>
    <row r="1714">
      <c r="A1714" s="1" t="s">
        <v>1726</v>
      </c>
      <c r="B1714" s="1">
        <v>72.0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</row>
    <row r="1715">
      <c r="A1715" s="1" t="s">
        <v>1727</v>
      </c>
      <c r="B1715" s="1">
        <v>43.0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</row>
    <row r="1716">
      <c r="A1716" s="1" t="s">
        <v>1728</v>
      </c>
      <c r="B1716" s="1">
        <v>12.0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</row>
    <row r="1717">
      <c r="A1717" s="1" t="s">
        <v>1729</v>
      </c>
      <c r="B1717" s="1">
        <v>68.0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</row>
    <row r="1718">
      <c r="A1718" s="1" t="s">
        <v>1730</v>
      </c>
      <c r="B1718" s="1">
        <v>29.0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</row>
    <row r="1719">
      <c r="A1719" s="1" t="s">
        <v>1731</v>
      </c>
      <c r="B1719" s="1">
        <v>37.0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</row>
    <row r="1720">
      <c r="A1720" s="1" t="s">
        <v>1732</v>
      </c>
      <c r="B1720" s="1">
        <v>66.0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</row>
    <row r="1721">
      <c r="A1721" s="1" t="s">
        <v>1733</v>
      </c>
      <c r="B1721" s="1">
        <v>28.0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</row>
    <row r="1722">
      <c r="A1722" s="1" t="s">
        <v>1734</v>
      </c>
      <c r="B1722" s="1">
        <v>15.0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</row>
    <row r="1723">
      <c r="A1723" s="1" t="s">
        <v>1735</v>
      </c>
      <c r="B1723" s="1">
        <v>66.0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</row>
    <row r="1724">
      <c r="A1724" s="1" t="s">
        <v>1736</v>
      </c>
      <c r="B1724" s="1">
        <v>86.0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</row>
    <row r="1725">
      <c r="A1725" s="1" t="s">
        <v>1737</v>
      </c>
      <c r="B1725" s="1">
        <v>5.0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</row>
    <row r="1726">
      <c r="A1726" s="1" t="s">
        <v>1738</v>
      </c>
      <c r="B1726" s="1">
        <v>131.0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</row>
    <row r="1727">
      <c r="A1727" s="1" t="s">
        <v>1739</v>
      </c>
      <c r="B1727" s="1">
        <v>30.0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</row>
    <row r="1728">
      <c r="A1728" s="1" t="s">
        <v>1740</v>
      </c>
      <c r="B1728" s="1">
        <v>92.0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</row>
    <row r="1729">
      <c r="A1729" s="1" t="s">
        <v>1741</v>
      </c>
      <c r="B1729" s="1">
        <v>476.0</v>
      </c>
      <c r="C1729" s="1">
        <v>7.0</v>
      </c>
      <c r="D1729" s="1">
        <v>0.0</v>
      </c>
      <c r="E1729" s="1">
        <v>0.0</v>
      </c>
      <c r="F1729" s="1">
        <v>0.0</v>
      </c>
      <c r="G1729" s="1">
        <v>1.0</v>
      </c>
    </row>
    <row r="1730">
      <c r="A1730" s="1" t="s">
        <v>1742</v>
      </c>
      <c r="B1730" s="1">
        <v>44.0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</row>
    <row r="1731">
      <c r="A1731" s="1" t="s">
        <v>1743</v>
      </c>
      <c r="B1731" s="1">
        <v>28.0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</row>
    <row r="1732">
      <c r="A1732" s="1" t="s">
        <v>1744</v>
      </c>
      <c r="B1732" s="1">
        <v>36.0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</row>
    <row r="1733">
      <c r="A1733" s="1" t="s">
        <v>1745</v>
      </c>
      <c r="B1733" s="1">
        <v>69.0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</row>
    <row r="1734">
      <c r="A1734" s="1" t="s">
        <v>1746</v>
      </c>
      <c r="B1734" s="1">
        <v>72.0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</row>
    <row r="1735">
      <c r="A1735" s="1" t="s">
        <v>1747</v>
      </c>
      <c r="B1735" s="1">
        <v>45.0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</row>
    <row r="1736">
      <c r="A1736" s="1" t="s">
        <v>1748</v>
      </c>
      <c r="B1736" s="1">
        <v>39.0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</row>
    <row r="1737">
      <c r="A1737" s="1" t="s">
        <v>1749</v>
      </c>
      <c r="B1737" s="1">
        <v>13.0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</row>
    <row r="1738">
      <c r="A1738" s="1" t="s">
        <v>1750</v>
      </c>
      <c r="B1738" s="1">
        <v>16.0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</row>
    <row r="1739">
      <c r="A1739" s="1" t="s">
        <v>1751</v>
      </c>
      <c r="B1739" s="1">
        <v>66.0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</row>
    <row r="1740">
      <c r="A1740" s="1" t="s">
        <v>1752</v>
      </c>
      <c r="B1740" s="1">
        <v>23.0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</row>
    <row r="1741">
      <c r="A1741" s="1" t="s">
        <v>1753</v>
      </c>
      <c r="B1741" s="1">
        <v>36.0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</row>
    <row r="1742">
      <c r="A1742" s="1" t="s">
        <v>1754</v>
      </c>
      <c r="B1742" s="1">
        <v>35.0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</row>
    <row r="1743">
      <c r="A1743" s="1" t="s">
        <v>1755</v>
      </c>
      <c r="B1743" s="1">
        <v>5.0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</row>
    <row r="1744">
      <c r="A1744" s="1" t="s">
        <v>1756</v>
      </c>
      <c r="B1744" s="1">
        <v>42.0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</row>
    <row r="1745">
      <c r="A1745" s="1" t="s">
        <v>1757</v>
      </c>
      <c r="B1745" s="1">
        <v>10.0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</row>
    <row r="1746">
      <c r="A1746" s="1" t="s">
        <v>1758</v>
      </c>
      <c r="B1746" s="1">
        <v>38.0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</row>
    <row r="1747">
      <c r="A1747" s="1" t="s">
        <v>1759</v>
      </c>
      <c r="B1747" s="1">
        <v>27.0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</row>
    <row r="1748">
      <c r="A1748" s="1" t="s">
        <v>1760</v>
      </c>
      <c r="B1748" s="1">
        <v>38.0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</row>
    <row r="1749">
      <c r="A1749" s="1" t="s">
        <v>1761</v>
      </c>
      <c r="B1749" s="1">
        <v>34.0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</row>
    <row r="1750">
      <c r="A1750" s="1" t="s">
        <v>1762</v>
      </c>
      <c r="B1750" s="1">
        <v>143.0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</row>
    <row r="1751">
      <c r="A1751" s="1" t="s">
        <v>1763</v>
      </c>
      <c r="B1751" s="1">
        <v>2579.0</v>
      </c>
      <c r="C1751" s="1">
        <v>5.0</v>
      </c>
      <c r="D1751" s="1">
        <v>0.0</v>
      </c>
      <c r="E1751" s="1">
        <v>0.0</v>
      </c>
      <c r="F1751" s="1">
        <v>0.0</v>
      </c>
      <c r="G1751" s="1">
        <v>0.0</v>
      </c>
    </row>
    <row r="1752">
      <c r="A1752" s="1" t="s">
        <v>1764</v>
      </c>
      <c r="B1752" s="1">
        <v>15.0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</row>
    <row r="1753">
      <c r="A1753" s="1" t="s">
        <v>1765</v>
      </c>
      <c r="B1753" s="1">
        <v>67.0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</row>
    <row r="1754">
      <c r="A1754" s="1" t="s">
        <v>1766</v>
      </c>
      <c r="B1754" s="1">
        <v>43.0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</row>
    <row r="1755">
      <c r="A1755" s="1" t="s">
        <v>1767</v>
      </c>
      <c r="B1755" s="1">
        <v>58.0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</row>
    <row r="1756">
      <c r="A1756" s="1" t="s">
        <v>1768</v>
      </c>
      <c r="B1756" s="1">
        <v>40.0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</row>
    <row r="1757">
      <c r="A1757" s="1" t="s">
        <v>1769</v>
      </c>
      <c r="B1757" s="1">
        <v>79.0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</row>
    <row r="1758">
      <c r="A1758" s="1" t="s">
        <v>1770</v>
      </c>
      <c r="B1758" s="1">
        <v>40.0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</row>
    <row r="1759">
      <c r="A1759" s="1" t="s">
        <v>1771</v>
      </c>
      <c r="B1759" s="1">
        <v>14.0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</row>
    <row r="1760">
      <c r="A1760" s="1" t="s">
        <v>1772</v>
      </c>
      <c r="B1760" s="1">
        <v>140.0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</row>
    <row r="1761">
      <c r="A1761" s="1" t="s">
        <v>1773</v>
      </c>
      <c r="B1761" s="1">
        <v>14.0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</row>
    <row r="1762">
      <c r="A1762" s="1" t="s">
        <v>1774</v>
      </c>
      <c r="B1762" s="1">
        <v>43.0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</row>
    <row r="1763">
      <c r="A1763" s="1" t="s">
        <v>1775</v>
      </c>
      <c r="B1763" s="1">
        <v>16.0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</row>
    <row r="1764">
      <c r="A1764" s="1" t="s">
        <v>1776</v>
      </c>
      <c r="B1764" s="1">
        <v>21.0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</row>
    <row r="1765">
      <c r="A1765" s="1" t="s">
        <v>1777</v>
      </c>
      <c r="B1765" s="1">
        <v>5.0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</row>
    <row r="1766">
      <c r="A1766" s="1" t="s">
        <v>1778</v>
      </c>
      <c r="B1766" s="1">
        <v>189.0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</row>
    <row r="1767">
      <c r="A1767" s="1" t="s">
        <v>1779</v>
      </c>
      <c r="B1767" s="1">
        <v>75.0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</row>
    <row r="1768">
      <c r="A1768" s="1" t="s">
        <v>1780</v>
      </c>
      <c r="B1768" s="1">
        <v>43.0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</row>
    <row r="1769">
      <c r="A1769" s="1" t="s">
        <v>1781</v>
      </c>
      <c r="B1769" s="1">
        <v>38.0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</row>
    <row r="1770">
      <c r="A1770" s="1" t="s">
        <v>1782</v>
      </c>
      <c r="B1770" s="1">
        <v>42.0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</row>
    <row r="1771">
      <c r="A1771" s="1" t="s">
        <v>1783</v>
      </c>
      <c r="B1771" s="1">
        <v>44.0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</row>
    <row r="1772">
      <c r="A1772" s="1" t="s">
        <v>1784</v>
      </c>
      <c r="B1772" s="1">
        <v>95.0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</row>
    <row r="1773">
      <c r="A1773" s="1" t="s">
        <v>1785</v>
      </c>
      <c r="B1773" s="1">
        <v>12.0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</row>
    <row r="1774">
      <c r="A1774" s="1" t="s">
        <v>1786</v>
      </c>
      <c r="B1774" s="1">
        <v>32.0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</row>
    <row r="1775">
      <c r="A1775" s="1" t="s">
        <v>1787</v>
      </c>
      <c r="B1775" s="1">
        <v>14.0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</row>
    <row r="1776">
      <c r="A1776" s="1" t="s">
        <v>1788</v>
      </c>
      <c r="B1776" s="1">
        <v>50.0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</row>
    <row r="1777">
      <c r="A1777" s="1" t="s">
        <v>1789</v>
      </c>
      <c r="B1777" s="1">
        <v>38.0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</row>
    <row r="1778">
      <c r="A1778" s="1" t="s">
        <v>1790</v>
      </c>
      <c r="B1778" s="1">
        <v>6.0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</row>
    <row r="1779">
      <c r="A1779" s="1" t="s">
        <v>1791</v>
      </c>
      <c r="B1779" s="1">
        <v>6.0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</row>
    <row r="1780">
      <c r="A1780" s="1" t="s">
        <v>1792</v>
      </c>
      <c r="B1780" s="1">
        <v>11.0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</row>
    <row r="1781">
      <c r="A1781" s="1" t="s">
        <v>1793</v>
      </c>
      <c r="B1781" s="1">
        <v>26.0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</row>
    <row r="1782">
      <c r="A1782" s="1" t="s">
        <v>1794</v>
      </c>
      <c r="B1782" s="1">
        <v>42.0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</row>
    <row r="1783">
      <c r="A1783" s="1" t="s">
        <v>1795</v>
      </c>
      <c r="B1783" s="1">
        <v>20.0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</row>
    <row r="1784">
      <c r="A1784" s="1" t="s">
        <v>1796</v>
      </c>
      <c r="B1784" s="1">
        <v>30.0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</row>
    <row r="1785">
      <c r="A1785" s="1" t="s">
        <v>1797</v>
      </c>
      <c r="B1785" s="1">
        <v>49.0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</row>
    <row r="1786">
      <c r="A1786" s="1" t="s">
        <v>1798</v>
      </c>
      <c r="B1786" s="1">
        <v>40.0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</row>
    <row r="1787">
      <c r="A1787" s="1" t="s">
        <v>1799</v>
      </c>
      <c r="B1787" s="1">
        <v>39.0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</row>
    <row r="1788">
      <c r="A1788" s="1" t="s">
        <v>1800</v>
      </c>
      <c r="B1788" s="1">
        <v>22.0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</row>
    <row r="1789">
      <c r="A1789" s="1" t="s">
        <v>1801</v>
      </c>
      <c r="B1789" s="1">
        <v>34.0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</row>
    <row r="1790">
      <c r="A1790" s="1" t="s">
        <v>1802</v>
      </c>
      <c r="B1790" s="1">
        <v>28.0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</row>
    <row r="1791">
      <c r="A1791" s="1" t="s">
        <v>1803</v>
      </c>
      <c r="B1791" s="1">
        <v>88.0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</row>
    <row r="1792">
      <c r="A1792" s="1" t="s">
        <v>1804</v>
      </c>
      <c r="B1792" s="1">
        <v>26.0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</row>
    <row r="1793">
      <c r="A1793" s="1" t="s">
        <v>1805</v>
      </c>
      <c r="B1793" s="1">
        <v>133.0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</row>
    <row r="1794">
      <c r="A1794" s="1" t="s">
        <v>1806</v>
      </c>
      <c r="B1794" s="1">
        <v>30.0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</row>
    <row r="1795">
      <c r="A1795" s="1" t="s">
        <v>1807</v>
      </c>
      <c r="B1795" s="1">
        <v>269.0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</row>
    <row r="1796">
      <c r="A1796" s="1" t="s">
        <v>1808</v>
      </c>
      <c r="B1796" s="1">
        <v>145.0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</row>
    <row r="1797">
      <c r="A1797" s="1" t="s">
        <v>1809</v>
      </c>
      <c r="B1797" s="1">
        <v>3.0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</row>
    <row r="1798">
      <c r="A1798" s="1" t="s">
        <v>1810</v>
      </c>
      <c r="B1798" s="1">
        <v>5.0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</row>
    <row r="1799">
      <c r="A1799" s="1" t="s">
        <v>1811</v>
      </c>
      <c r="B1799" s="1">
        <v>17.0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</row>
    <row r="1800">
      <c r="A1800" s="1" t="s">
        <v>1812</v>
      </c>
      <c r="B1800" s="1">
        <v>27.0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</row>
    <row r="1801">
      <c r="A1801" s="1" t="s">
        <v>1813</v>
      </c>
      <c r="B1801" s="1">
        <v>30.0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</row>
    <row r="1802">
      <c r="A1802" s="1" t="s">
        <v>1814</v>
      </c>
      <c r="B1802" s="1">
        <v>29.0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</row>
    <row r="1803">
      <c r="A1803" s="1" t="s">
        <v>1815</v>
      </c>
      <c r="B1803" s="1">
        <v>36.0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</row>
    <row r="1804">
      <c r="A1804" s="1" t="s">
        <v>1816</v>
      </c>
      <c r="B1804" s="1">
        <v>47.0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</row>
    <row r="1805">
      <c r="A1805" s="1" t="s">
        <v>1817</v>
      </c>
      <c r="B1805" s="1">
        <v>151.0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</row>
    <row r="1806">
      <c r="A1806" s="1" t="s">
        <v>1818</v>
      </c>
      <c r="B1806" s="1">
        <v>50.0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</row>
    <row r="1807">
      <c r="A1807" s="1" t="s">
        <v>1819</v>
      </c>
      <c r="B1807" s="1">
        <v>39.0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</row>
    <row r="1808">
      <c r="A1808" s="1" t="s">
        <v>1820</v>
      </c>
      <c r="B1808" s="1">
        <v>18.0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</row>
    <row r="1809">
      <c r="A1809" s="1" t="s">
        <v>1821</v>
      </c>
      <c r="B1809" s="1">
        <v>15.0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</row>
    <row r="1810">
      <c r="A1810" s="1" t="s">
        <v>1822</v>
      </c>
      <c r="B1810" s="1">
        <v>21.0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</row>
    <row r="1811">
      <c r="A1811" s="1" t="s">
        <v>1823</v>
      </c>
      <c r="B1811" s="1">
        <v>79.0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</row>
    <row r="1812">
      <c r="A1812" s="1" t="s">
        <v>1824</v>
      </c>
      <c r="B1812" s="1">
        <v>49.0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</row>
    <row r="1813">
      <c r="A1813" s="1" t="s">
        <v>1825</v>
      </c>
      <c r="B1813" s="1">
        <v>103.0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</row>
    <row r="1814">
      <c r="A1814" s="1" t="s">
        <v>1826</v>
      </c>
      <c r="B1814" s="1">
        <v>20.0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</row>
    <row r="1815">
      <c r="A1815" s="1" t="s">
        <v>1827</v>
      </c>
      <c r="B1815" s="1">
        <v>21.0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</row>
    <row r="1816">
      <c r="A1816" s="1" t="s">
        <v>1828</v>
      </c>
      <c r="B1816" s="1">
        <v>90.0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</row>
    <row r="1817">
      <c r="A1817" s="1" t="s">
        <v>1829</v>
      </c>
      <c r="B1817" s="1">
        <v>24.0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</row>
    <row r="1818">
      <c r="A1818" s="1" t="s">
        <v>1830</v>
      </c>
      <c r="B1818" s="1">
        <v>146.0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</row>
    <row r="1819">
      <c r="A1819" s="1" t="s">
        <v>1831</v>
      </c>
      <c r="B1819" s="1">
        <v>15.0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</row>
    <row r="1820">
      <c r="A1820" s="1" t="s">
        <v>1832</v>
      </c>
      <c r="B1820" s="1">
        <v>77.0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</row>
    <row r="1821">
      <c r="A1821" s="1" t="s">
        <v>1833</v>
      </c>
      <c r="B1821" s="1">
        <v>4501.0</v>
      </c>
      <c r="C1821" s="1">
        <v>1.0</v>
      </c>
      <c r="D1821" s="1">
        <v>1.0</v>
      </c>
      <c r="E1821" s="1">
        <v>1.0</v>
      </c>
      <c r="F1821" s="1">
        <v>1.0</v>
      </c>
      <c r="G1821" s="1">
        <v>1.0</v>
      </c>
    </row>
    <row r="1822">
      <c r="A1822" s="1" t="s">
        <v>1834</v>
      </c>
      <c r="B1822" s="1">
        <v>104.0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</row>
    <row r="1823">
      <c r="A1823" s="1" t="s">
        <v>1835</v>
      </c>
      <c r="B1823" s="1">
        <v>35.0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</row>
    <row r="1824">
      <c r="A1824" s="1" t="s">
        <v>1836</v>
      </c>
      <c r="B1824" s="1">
        <v>43.0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</row>
    <row r="1825">
      <c r="A1825" s="1" t="s">
        <v>1837</v>
      </c>
      <c r="B1825" s="1">
        <v>73.0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</row>
    <row r="1826">
      <c r="A1826" s="1" t="s">
        <v>1838</v>
      </c>
      <c r="B1826" s="1">
        <v>25.0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</row>
    <row r="1827">
      <c r="A1827" s="1" t="s">
        <v>1839</v>
      </c>
      <c r="B1827" s="1">
        <v>105.0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</row>
    <row r="1828">
      <c r="A1828" s="1" t="s">
        <v>1840</v>
      </c>
      <c r="B1828" s="1">
        <v>11.0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</row>
    <row r="1829">
      <c r="A1829" s="1" t="s">
        <v>1841</v>
      </c>
      <c r="B1829" s="1">
        <v>899.0</v>
      </c>
      <c r="C1829" s="1">
        <v>11.0</v>
      </c>
      <c r="D1829" s="1">
        <v>0.0</v>
      </c>
      <c r="E1829" s="1">
        <v>0.0</v>
      </c>
      <c r="F1829" s="1">
        <v>0.0</v>
      </c>
      <c r="G1829" s="1">
        <v>1.0</v>
      </c>
    </row>
    <row r="1830">
      <c r="A1830" s="1" t="s">
        <v>1842</v>
      </c>
      <c r="B1830" s="1">
        <v>36.0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</row>
    <row r="1831">
      <c r="A1831" s="1" t="s">
        <v>1843</v>
      </c>
      <c r="B1831" s="1">
        <v>58.0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</row>
    <row r="1832">
      <c r="A1832" s="1" t="s">
        <v>1844</v>
      </c>
      <c r="B1832" s="1">
        <v>15.0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</row>
    <row r="1833">
      <c r="A1833" s="1" t="s">
        <v>1845</v>
      </c>
      <c r="B1833" s="1">
        <v>31.0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</row>
    <row r="1834">
      <c r="A1834" s="1" t="s">
        <v>1846</v>
      </c>
      <c r="B1834" s="1">
        <v>8.0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</row>
    <row r="1835">
      <c r="A1835" s="1" t="s">
        <v>1847</v>
      </c>
      <c r="B1835" s="1">
        <v>15.0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</row>
    <row r="1836">
      <c r="A1836" s="1" t="s">
        <v>1848</v>
      </c>
      <c r="B1836" s="1">
        <v>64.0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</row>
    <row r="1837">
      <c r="A1837" s="1" t="s">
        <v>1849</v>
      </c>
      <c r="B1837" s="1">
        <v>6.0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</row>
    <row r="1838">
      <c r="A1838" s="1" t="s">
        <v>1850</v>
      </c>
      <c r="B1838" s="1">
        <v>106.0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</row>
    <row r="1839">
      <c r="A1839" s="1" t="s">
        <v>1851</v>
      </c>
      <c r="B1839" s="1">
        <v>33.0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</row>
    <row r="1840">
      <c r="A1840" s="1" t="s">
        <v>1852</v>
      </c>
      <c r="B1840" s="1">
        <v>46.0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</row>
    <row r="1841">
      <c r="A1841" s="1" t="s">
        <v>1853</v>
      </c>
      <c r="B1841" s="1">
        <v>9.0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</row>
    <row r="1842">
      <c r="A1842" s="1" t="s">
        <v>1854</v>
      </c>
      <c r="B1842" s="1">
        <v>31.0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</row>
    <row r="1843">
      <c r="A1843" s="1" t="s">
        <v>1855</v>
      </c>
      <c r="B1843" s="1">
        <v>21.0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</row>
    <row r="1844">
      <c r="A1844" s="1" t="s">
        <v>1856</v>
      </c>
      <c r="B1844" s="1">
        <v>43.0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</row>
    <row r="1845">
      <c r="A1845" s="1" t="s">
        <v>1857</v>
      </c>
      <c r="B1845" s="1">
        <v>234.0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</row>
    <row r="1846">
      <c r="A1846" s="1" t="s">
        <v>1858</v>
      </c>
      <c r="B1846" s="1">
        <v>29.0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</row>
    <row r="1847">
      <c r="A1847" s="1" t="s">
        <v>1859</v>
      </c>
      <c r="B1847" s="1">
        <v>57.0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</row>
    <row r="1848">
      <c r="A1848" s="1" t="s">
        <v>1860</v>
      </c>
      <c r="B1848" s="1">
        <v>9.0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</row>
    <row r="1849">
      <c r="A1849" s="1" t="s">
        <v>1861</v>
      </c>
      <c r="B1849" s="1">
        <v>23.0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</row>
    <row r="1850">
      <c r="A1850" s="1" t="s">
        <v>1862</v>
      </c>
      <c r="B1850" s="1">
        <v>80.0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</row>
    <row r="1851">
      <c r="A1851" s="1" t="s">
        <v>1863</v>
      </c>
      <c r="B1851" s="1">
        <v>31.0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</row>
    <row r="1852">
      <c r="A1852" s="1" t="s">
        <v>1864</v>
      </c>
      <c r="B1852" s="1">
        <v>140.0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</row>
    <row r="1853">
      <c r="A1853" s="1" t="s">
        <v>1865</v>
      </c>
      <c r="B1853" s="1">
        <v>264.0</v>
      </c>
      <c r="C1853" s="1">
        <v>1.0</v>
      </c>
      <c r="D1853" s="1">
        <v>0.0</v>
      </c>
      <c r="E1853" s="1">
        <v>0.0</v>
      </c>
      <c r="F1853" s="1">
        <v>0.0</v>
      </c>
      <c r="G1853" s="1">
        <v>0.0</v>
      </c>
    </row>
    <row r="1854">
      <c r="A1854" s="1" t="s">
        <v>1866</v>
      </c>
      <c r="B1854" s="1">
        <v>38.0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</row>
    <row r="1855">
      <c r="A1855" s="1" t="s">
        <v>1867</v>
      </c>
      <c r="B1855" s="1">
        <v>45.0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</row>
    <row r="1856">
      <c r="A1856" s="1" t="s">
        <v>1868</v>
      </c>
      <c r="B1856" s="1">
        <v>40.0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</row>
    <row r="1857">
      <c r="A1857" s="1" t="s">
        <v>1869</v>
      </c>
      <c r="B1857" s="1">
        <v>13.0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</row>
    <row r="1858">
      <c r="A1858" s="1" t="s">
        <v>1870</v>
      </c>
      <c r="B1858" s="1">
        <v>385.0</v>
      </c>
      <c r="C1858" s="1">
        <v>1.0</v>
      </c>
      <c r="D1858" s="1">
        <v>0.0</v>
      </c>
      <c r="E1858" s="1">
        <v>0.0</v>
      </c>
      <c r="F1858" s="1">
        <v>0.0</v>
      </c>
      <c r="G1858" s="1">
        <v>1.0</v>
      </c>
    </row>
    <row r="1859">
      <c r="A1859" s="1" t="s">
        <v>1871</v>
      </c>
      <c r="B1859" s="1">
        <v>123.0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</row>
    <row r="1860">
      <c r="A1860" s="1" t="s">
        <v>1872</v>
      </c>
      <c r="B1860" s="1">
        <v>23.0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</row>
    <row r="1861">
      <c r="A1861" s="1" t="s">
        <v>1873</v>
      </c>
      <c r="B1861" s="1">
        <v>14.0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</row>
    <row r="1862">
      <c r="A1862" s="1" t="s">
        <v>1874</v>
      </c>
      <c r="B1862" s="1">
        <v>4.0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</row>
    <row r="1863">
      <c r="A1863" s="1" t="s">
        <v>1875</v>
      </c>
      <c r="B1863" s="1">
        <v>57.0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</row>
    <row r="1864">
      <c r="A1864" s="1" t="s">
        <v>1876</v>
      </c>
      <c r="B1864" s="1">
        <v>41.0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</row>
    <row r="1865">
      <c r="A1865" s="1" t="s">
        <v>1877</v>
      </c>
      <c r="B1865" s="1">
        <v>19.0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</row>
    <row r="1866">
      <c r="A1866" s="1" t="s">
        <v>1878</v>
      </c>
      <c r="B1866" s="1">
        <v>9.0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</row>
    <row r="1867">
      <c r="A1867" s="1" t="s">
        <v>1879</v>
      </c>
      <c r="B1867" s="1">
        <v>69.0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</row>
    <row r="1868">
      <c r="A1868" s="1" t="s">
        <v>1880</v>
      </c>
      <c r="B1868" s="1">
        <v>47.0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</row>
    <row r="1869">
      <c r="A1869" s="1" t="s">
        <v>1881</v>
      </c>
      <c r="B1869" s="1">
        <v>131.0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</row>
    <row r="1870">
      <c r="A1870" s="1" t="s">
        <v>1882</v>
      </c>
      <c r="B1870" s="1">
        <v>73.0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</row>
    <row r="1871">
      <c r="A1871" s="1" t="s">
        <v>1883</v>
      </c>
      <c r="B1871" s="1">
        <v>20.0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</row>
    <row r="1872">
      <c r="A1872" s="1" t="s">
        <v>1884</v>
      </c>
      <c r="B1872" s="1">
        <v>71.0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</row>
    <row r="1873">
      <c r="A1873" s="1" t="s">
        <v>1885</v>
      </c>
      <c r="B1873" s="1">
        <v>33.0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</row>
    <row r="1874">
      <c r="A1874" s="1" t="s">
        <v>1886</v>
      </c>
      <c r="B1874" s="1">
        <v>4.0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</row>
    <row r="1875">
      <c r="A1875" s="1" t="s">
        <v>1887</v>
      </c>
      <c r="B1875" s="1">
        <v>39.0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</row>
    <row r="1876">
      <c r="A1876" s="1" t="s">
        <v>1888</v>
      </c>
      <c r="B1876" s="1">
        <v>192.0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</row>
    <row r="1877">
      <c r="A1877" s="1" t="s">
        <v>1889</v>
      </c>
      <c r="B1877" s="1">
        <v>12.0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</row>
    <row r="1878">
      <c r="A1878" s="1" t="s">
        <v>1890</v>
      </c>
      <c r="B1878" s="1">
        <v>26.0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</row>
    <row r="1879">
      <c r="A1879" s="1" t="s">
        <v>1891</v>
      </c>
      <c r="B1879" s="1">
        <v>36.0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</row>
    <row r="1880">
      <c r="A1880" s="1" t="s">
        <v>1892</v>
      </c>
      <c r="B1880" s="1">
        <v>163.0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</row>
    <row r="1881">
      <c r="A1881" s="1" t="s">
        <v>1893</v>
      </c>
      <c r="B1881" s="1">
        <v>22.0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</row>
    <row r="1882">
      <c r="A1882" s="1" t="s">
        <v>1894</v>
      </c>
      <c r="B1882" s="1">
        <v>40.0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</row>
    <row r="1883">
      <c r="A1883" s="1" t="s">
        <v>1895</v>
      </c>
      <c r="B1883" s="1">
        <v>3.0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</row>
    <row r="1884">
      <c r="A1884" s="1" t="s">
        <v>1896</v>
      </c>
      <c r="B1884" s="1">
        <v>3.0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</row>
    <row r="1885">
      <c r="A1885" s="1" t="s">
        <v>1897</v>
      </c>
      <c r="B1885" s="1">
        <v>38.0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</row>
    <row r="1886">
      <c r="A1886" s="1" t="s">
        <v>1898</v>
      </c>
      <c r="B1886" s="1">
        <v>10.0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</row>
    <row r="1887">
      <c r="A1887" s="1" t="s">
        <v>1899</v>
      </c>
      <c r="B1887" s="1">
        <v>67.0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</row>
    <row r="1888">
      <c r="A1888" s="1" t="s">
        <v>1900</v>
      </c>
      <c r="B1888" s="1">
        <v>10.0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</row>
    <row r="1889">
      <c r="A1889" s="1" t="s">
        <v>1901</v>
      </c>
      <c r="B1889" s="1">
        <v>19.0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</row>
    <row r="1890">
      <c r="A1890" s="1" t="s">
        <v>1902</v>
      </c>
      <c r="B1890" s="1">
        <v>4.0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</row>
    <row r="1891">
      <c r="A1891" s="1" t="s">
        <v>1903</v>
      </c>
      <c r="B1891" s="1">
        <v>117.0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</row>
    <row r="1892">
      <c r="A1892" s="1" t="s">
        <v>1904</v>
      </c>
      <c r="B1892" s="1">
        <v>81.0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</row>
    <row r="1893">
      <c r="A1893" s="1" t="s">
        <v>1905</v>
      </c>
      <c r="B1893" s="1">
        <v>38.0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</row>
    <row r="1894">
      <c r="A1894" s="1" t="s">
        <v>1906</v>
      </c>
      <c r="B1894" s="1">
        <v>19.0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</row>
    <row r="1895">
      <c r="A1895" s="1" t="s">
        <v>1907</v>
      </c>
      <c r="B1895" s="1">
        <v>15.0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</row>
    <row r="1896">
      <c r="A1896" s="1" t="s">
        <v>1908</v>
      </c>
      <c r="B1896" s="1">
        <v>63.0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</row>
    <row r="1897">
      <c r="A1897" s="1" t="s">
        <v>1909</v>
      </c>
      <c r="B1897" s="1">
        <v>96.0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</row>
    <row r="1898">
      <c r="A1898" s="1" t="s">
        <v>1910</v>
      </c>
      <c r="B1898" s="1">
        <v>26.0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</row>
    <row r="1899">
      <c r="A1899" s="1" t="s">
        <v>1911</v>
      </c>
      <c r="B1899" s="1">
        <v>192.0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</row>
    <row r="1900">
      <c r="A1900" s="1" t="s">
        <v>1912</v>
      </c>
      <c r="B1900" s="1">
        <v>12.0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</row>
    <row r="1901">
      <c r="A1901" s="1" t="s">
        <v>1913</v>
      </c>
      <c r="B1901" s="1">
        <v>9.0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</row>
    <row r="1902">
      <c r="A1902" s="1" t="s">
        <v>1914</v>
      </c>
      <c r="B1902" s="1">
        <v>1597.0</v>
      </c>
      <c r="C1902" s="1">
        <v>19.0</v>
      </c>
      <c r="D1902" s="1">
        <v>0.0</v>
      </c>
      <c r="E1902" s="1">
        <v>2.0</v>
      </c>
      <c r="F1902" s="1">
        <v>0.0</v>
      </c>
      <c r="G1902" s="1">
        <v>2.0</v>
      </c>
    </row>
    <row r="1903">
      <c r="A1903" s="1" t="s">
        <v>1915</v>
      </c>
      <c r="B1903" s="1">
        <v>468.0</v>
      </c>
      <c r="C1903" s="1">
        <v>3.0</v>
      </c>
      <c r="D1903" s="1">
        <v>0.0</v>
      </c>
      <c r="E1903" s="1">
        <v>1.0</v>
      </c>
      <c r="F1903" s="1">
        <v>0.0</v>
      </c>
      <c r="G1903" s="1">
        <v>3.0</v>
      </c>
    </row>
    <row r="1904">
      <c r="A1904" s="1" t="s">
        <v>1916</v>
      </c>
      <c r="B1904" s="1">
        <v>16.0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</row>
    <row r="1905">
      <c r="A1905" s="1" t="s">
        <v>1917</v>
      </c>
      <c r="B1905" s="1">
        <v>34.0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</row>
    <row r="1906">
      <c r="A1906" s="1" t="s">
        <v>1918</v>
      </c>
      <c r="B1906" s="1">
        <v>11.0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</row>
    <row r="1907">
      <c r="A1907" s="1" t="s">
        <v>1919</v>
      </c>
      <c r="B1907" s="1">
        <v>76.0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</row>
    <row r="1908">
      <c r="A1908" s="1" t="s">
        <v>1920</v>
      </c>
      <c r="B1908" s="1">
        <v>44.0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</row>
    <row r="1909">
      <c r="A1909" s="1" t="s">
        <v>1921</v>
      </c>
      <c r="B1909" s="1">
        <v>131.0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</row>
    <row r="1910">
      <c r="A1910" s="1" t="s">
        <v>1922</v>
      </c>
      <c r="B1910" s="1">
        <v>79.0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</row>
    <row r="1911">
      <c r="A1911" s="1" t="s">
        <v>1923</v>
      </c>
      <c r="B1911" s="1">
        <v>766.0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</row>
    <row r="1912">
      <c r="A1912" s="1" t="s">
        <v>1924</v>
      </c>
      <c r="B1912" s="1">
        <v>9.0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</row>
    <row r="1913">
      <c r="A1913" s="1" t="s">
        <v>1925</v>
      </c>
      <c r="B1913" s="1">
        <v>25.0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</row>
    <row r="1914">
      <c r="A1914" s="1" t="s">
        <v>1926</v>
      </c>
      <c r="B1914" s="1">
        <v>64.0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</row>
    <row r="1915">
      <c r="A1915" s="1" t="s">
        <v>1927</v>
      </c>
      <c r="B1915" s="1">
        <v>189.0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</row>
    <row r="1916">
      <c r="A1916" s="1" t="s">
        <v>1928</v>
      </c>
      <c r="B1916" s="1">
        <v>222.0</v>
      </c>
      <c r="C1916" s="1">
        <v>1.0</v>
      </c>
      <c r="D1916" s="1">
        <v>0.0</v>
      </c>
      <c r="E1916" s="1">
        <v>0.0</v>
      </c>
      <c r="F1916" s="1">
        <v>0.0</v>
      </c>
      <c r="G1916" s="1">
        <v>0.0</v>
      </c>
    </row>
    <row r="1917">
      <c r="A1917" s="1" t="s">
        <v>1929</v>
      </c>
      <c r="B1917" s="1">
        <v>104.0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</row>
    <row r="1918">
      <c r="A1918" s="1" t="s">
        <v>1930</v>
      </c>
      <c r="B1918" s="1">
        <v>23.0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</row>
    <row r="1919">
      <c r="A1919" s="1" t="s">
        <v>1931</v>
      </c>
      <c r="B1919" s="1">
        <v>42.0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</row>
    <row r="1920">
      <c r="A1920" s="1" t="s">
        <v>1932</v>
      </c>
      <c r="B1920" s="1">
        <v>16.0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</row>
    <row r="1921">
      <c r="A1921" s="1" t="s">
        <v>1933</v>
      </c>
      <c r="B1921" s="1">
        <v>18.0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</row>
    <row r="1922">
      <c r="A1922" s="1" t="s">
        <v>1934</v>
      </c>
      <c r="B1922" s="1">
        <v>15.0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</row>
    <row r="1923">
      <c r="A1923" s="1" t="s">
        <v>1935</v>
      </c>
      <c r="B1923" s="1">
        <v>10.0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</row>
    <row r="1924">
      <c r="A1924" s="1" t="s">
        <v>1936</v>
      </c>
      <c r="B1924" s="1">
        <v>26.0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</row>
    <row r="1925">
      <c r="A1925" s="1" t="s">
        <v>1937</v>
      </c>
      <c r="B1925" s="1">
        <v>12.0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</row>
    <row r="1926">
      <c r="A1926" s="1" t="s">
        <v>1938</v>
      </c>
      <c r="B1926" s="1">
        <v>7.0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</row>
    <row r="1927">
      <c r="A1927" s="1" t="s">
        <v>1939</v>
      </c>
      <c r="B1927" s="1">
        <v>83.0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</row>
    <row r="1928">
      <c r="A1928" s="1" t="s">
        <v>1940</v>
      </c>
      <c r="B1928" s="1">
        <v>89.0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</row>
    <row r="1929">
      <c r="A1929" s="1" t="s">
        <v>1941</v>
      </c>
      <c r="B1929" s="1">
        <v>155.0</v>
      </c>
      <c r="C1929" s="1">
        <v>0.0</v>
      </c>
      <c r="D1929" s="1">
        <v>0.0</v>
      </c>
      <c r="E1929" s="1">
        <v>0.0</v>
      </c>
      <c r="F1929" s="1">
        <v>0.0</v>
      </c>
      <c r="G1929" s="1">
        <v>1.0</v>
      </c>
    </row>
    <row r="1930">
      <c r="A1930" s="1" t="s">
        <v>1942</v>
      </c>
      <c r="B1930" s="1">
        <v>43.0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</row>
    <row r="1931">
      <c r="A1931" s="1" t="s">
        <v>1943</v>
      </c>
      <c r="B1931" s="1">
        <v>38.0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</row>
    <row r="1932">
      <c r="A1932" s="1" t="s">
        <v>1944</v>
      </c>
      <c r="B1932" s="1">
        <v>22.0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</row>
    <row r="1933">
      <c r="A1933" s="1" t="s">
        <v>1945</v>
      </c>
      <c r="B1933" s="1">
        <v>16.0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</row>
    <row r="1934">
      <c r="A1934" s="1" t="s">
        <v>1946</v>
      </c>
      <c r="B1934" s="1">
        <v>37.0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</row>
    <row r="1935">
      <c r="A1935" s="1" t="s">
        <v>1947</v>
      </c>
      <c r="B1935" s="1">
        <v>13.0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</row>
    <row r="1936">
      <c r="A1936" s="1" t="s">
        <v>1948</v>
      </c>
      <c r="B1936" s="1">
        <v>110.0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</row>
    <row r="1937">
      <c r="A1937" s="1" t="s">
        <v>1949</v>
      </c>
      <c r="B1937" s="1">
        <v>10.0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</row>
    <row r="1938">
      <c r="A1938" s="1" t="s">
        <v>1950</v>
      </c>
      <c r="B1938" s="1">
        <v>15.0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</row>
    <row r="1939">
      <c r="A1939" s="1" t="s">
        <v>1951</v>
      </c>
      <c r="B1939" s="1">
        <v>10.0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</row>
    <row r="1940">
      <c r="A1940" s="1" t="s">
        <v>1952</v>
      </c>
      <c r="B1940" s="1">
        <v>156.0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</row>
    <row r="1941">
      <c r="A1941" s="1" t="s">
        <v>1953</v>
      </c>
      <c r="B1941" s="1">
        <v>32.0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</row>
    <row r="1942">
      <c r="A1942" s="1" t="s">
        <v>1954</v>
      </c>
      <c r="B1942" s="1">
        <v>150.0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</row>
    <row r="1943">
      <c r="A1943" s="1" t="s">
        <v>1955</v>
      </c>
      <c r="B1943" s="1">
        <v>45.0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</row>
    <row r="1944">
      <c r="A1944" s="1" t="s">
        <v>1956</v>
      </c>
      <c r="B1944" s="1">
        <v>95.0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</row>
    <row r="1945">
      <c r="A1945" s="1" t="s">
        <v>1957</v>
      </c>
      <c r="B1945" s="1">
        <v>2251.0</v>
      </c>
      <c r="C1945" s="1">
        <v>38.0</v>
      </c>
      <c r="D1945" s="1">
        <v>1.0</v>
      </c>
      <c r="E1945" s="1">
        <v>1.0</v>
      </c>
      <c r="F1945" s="1">
        <v>1.0</v>
      </c>
      <c r="G1945" s="1">
        <v>2.0</v>
      </c>
    </row>
    <row r="1946">
      <c r="A1946" s="1" t="s">
        <v>1958</v>
      </c>
      <c r="B1946" s="1">
        <v>22.0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</row>
    <row r="1947">
      <c r="A1947" s="1" t="s">
        <v>1959</v>
      </c>
      <c r="B1947" s="1">
        <v>87.0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</row>
    <row r="1948">
      <c r="A1948" s="1" t="s">
        <v>1960</v>
      </c>
      <c r="B1948" s="1">
        <v>15.0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</row>
    <row r="1949">
      <c r="A1949" s="1" t="s">
        <v>1961</v>
      </c>
      <c r="B1949" s="1">
        <v>110.0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</row>
    <row r="1950">
      <c r="A1950" s="1" t="s">
        <v>1962</v>
      </c>
      <c r="B1950" s="1">
        <v>49.0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</row>
    <row r="1951">
      <c r="A1951" s="1" t="s">
        <v>1963</v>
      </c>
      <c r="B1951" s="1">
        <v>15.0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</row>
    <row r="1952">
      <c r="A1952" s="1" t="s">
        <v>1964</v>
      </c>
      <c r="B1952" s="1">
        <v>20.0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</row>
    <row r="1953">
      <c r="A1953" s="1" t="s">
        <v>1965</v>
      </c>
      <c r="B1953" s="1">
        <v>62.0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</row>
    <row r="1954">
      <c r="A1954" s="1" t="s">
        <v>1966</v>
      </c>
      <c r="B1954" s="1">
        <v>59.0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</row>
    <row r="1955">
      <c r="A1955" s="1" t="s">
        <v>1967</v>
      </c>
      <c r="B1955" s="1">
        <v>28.0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</row>
    <row r="1956">
      <c r="A1956" s="1" t="s">
        <v>1968</v>
      </c>
      <c r="B1956" s="1">
        <v>33.0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</row>
    <row r="1957">
      <c r="A1957" s="1" t="s">
        <v>1969</v>
      </c>
      <c r="B1957" s="1">
        <v>40.0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</row>
    <row r="1958">
      <c r="A1958" s="1" t="s">
        <v>1970</v>
      </c>
      <c r="B1958" s="1">
        <v>190.0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</row>
    <row r="1959">
      <c r="A1959" s="1" t="s">
        <v>1971</v>
      </c>
      <c r="B1959" s="1">
        <v>51.0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</row>
    <row r="1960">
      <c r="A1960" s="1" t="s">
        <v>1972</v>
      </c>
      <c r="B1960" s="1">
        <v>40.0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</row>
    <row r="1961">
      <c r="A1961" s="1" t="s">
        <v>1973</v>
      </c>
      <c r="B1961" s="1">
        <v>163.0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</row>
    <row r="1962">
      <c r="A1962" s="1" t="s">
        <v>1974</v>
      </c>
      <c r="B1962" s="1">
        <v>10.0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</row>
    <row r="1963">
      <c r="A1963" s="1" t="s">
        <v>1975</v>
      </c>
      <c r="B1963" s="1">
        <v>11.0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</row>
    <row r="1964">
      <c r="A1964" s="1" t="s">
        <v>1976</v>
      </c>
      <c r="B1964" s="1">
        <v>37.0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</row>
    <row r="1965">
      <c r="A1965" s="1" t="s">
        <v>1977</v>
      </c>
      <c r="B1965" s="1">
        <v>45.0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</row>
    <row r="1966">
      <c r="A1966" s="1" t="s">
        <v>1978</v>
      </c>
      <c r="B1966" s="1">
        <v>18.0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</row>
    <row r="1967">
      <c r="A1967" s="1" t="s">
        <v>1979</v>
      </c>
      <c r="B1967" s="1">
        <v>4.0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</row>
    <row r="1968">
      <c r="A1968" s="1" t="s">
        <v>1980</v>
      </c>
      <c r="B1968" s="1">
        <v>36.0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</row>
    <row r="1969">
      <c r="A1969" s="1" t="s">
        <v>1981</v>
      </c>
      <c r="B1969" s="1">
        <v>10.0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</row>
    <row r="1970">
      <c r="A1970" s="1" t="s">
        <v>1982</v>
      </c>
      <c r="B1970" s="1">
        <v>90.0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</row>
    <row r="1971">
      <c r="A1971" s="1" t="s">
        <v>1983</v>
      </c>
      <c r="B1971" s="1">
        <v>176.0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</row>
    <row r="1972">
      <c r="A1972" s="1" t="s">
        <v>1984</v>
      </c>
      <c r="B1972" s="1">
        <v>23.0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</row>
    <row r="1973">
      <c r="A1973" s="1" t="s">
        <v>1985</v>
      </c>
      <c r="B1973" s="1">
        <v>163.0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</row>
    <row r="1974">
      <c r="A1974" s="1" t="s">
        <v>1986</v>
      </c>
      <c r="B1974" s="1">
        <v>12.0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</row>
    <row r="1975">
      <c r="A1975" s="1" t="s">
        <v>1987</v>
      </c>
      <c r="B1975" s="1">
        <v>43.0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</row>
    <row r="1976">
      <c r="A1976" s="1" t="s">
        <v>1988</v>
      </c>
      <c r="B1976" s="1">
        <v>28.0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</row>
    <row r="1977">
      <c r="A1977" s="1" t="s">
        <v>1989</v>
      </c>
      <c r="B1977" s="1">
        <v>65.0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</row>
    <row r="1978">
      <c r="A1978" s="1" t="s">
        <v>1990</v>
      </c>
      <c r="B1978" s="1">
        <v>17.0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</row>
    <row r="1979">
      <c r="A1979" s="1" t="s">
        <v>1991</v>
      </c>
      <c r="B1979" s="1">
        <v>8.0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</row>
    <row r="1980">
      <c r="A1980" s="1" t="s">
        <v>1992</v>
      </c>
      <c r="B1980" s="1">
        <v>47.0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</row>
    <row r="1981">
      <c r="A1981" s="1" t="s">
        <v>1993</v>
      </c>
      <c r="B1981" s="1">
        <v>102.0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</row>
    <row r="1982">
      <c r="A1982" s="1" t="s">
        <v>1994</v>
      </c>
      <c r="B1982" s="1">
        <v>267.0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</row>
    <row r="1983">
      <c r="A1983" s="1" t="s">
        <v>1995</v>
      </c>
      <c r="B1983" s="1">
        <v>30.0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</row>
    <row r="1984">
      <c r="A1984" s="1" t="s">
        <v>1996</v>
      </c>
      <c r="B1984" s="1">
        <v>25.0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</row>
    <row r="1985">
      <c r="A1985" s="1" t="s">
        <v>1997</v>
      </c>
      <c r="B1985" s="1">
        <v>17.0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</row>
    <row r="1986">
      <c r="A1986" s="1" t="s">
        <v>1998</v>
      </c>
      <c r="B1986" s="1">
        <v>120.0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</row>
    <row r="1987">
      <c r="A1987" s="1" t="s">
        <v>1999</v>
      </c>
      <c r="B1987" s="1">
        <v>35.0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</row>
    <row r="1988">
      <c r="A1988" s="1" t="s">
        <v>2000</v>
      </c>
      <c r="B1988" s="1">
        <v>52.0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</row>
    <row r="1989">
      <c r="A1989" s="1" t="s">
        <v>2001</v>
      </c>
      <c r="B1989" s="1">
        <v>17.0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</row>
    <row r="1990">
      <c r="A1990" s="1" t="s">
        <v>2002</v>
      </c>
      <c r="B1990" s="1">
        <v>53.0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</row>
    <row r="1991">
      <c r="A1991" s="1" t="s">
        <v>2003</v>
      </c>
      <c r="B1991" s="1">
        <v>389.0</v>
      </c>
      <c r="C1991" s="1">
        <v>0.0</v>
      </c>
      <c r="D1991" s="1">
        <v>0.0</v>
      </c>
      <c r="E1991" s="1">
        <v>0.0</v>
      </c>
      <c r="F1991" s="1">
        <v>0.0</v>
      </c>
      <c r="G1991" s="1">
        <v>1.0</v>
      </c>
    </row>
    <row r="1992">
      <c r="A1992" s="1" t="s">
        <v>2004</v>
      </c>
      <c r="B1992" s="1">
        <v>16.0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</row>
    <row r="1993">
      <c r="A1993" s="1" t="s">
        <v>2005</v>
      </c>
      <c r="B1993" s="1">
        <v>70.0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</row>
    <row r="1994">
      <c r="A1994" s="1" t="s">
        <v>2006</v>
      </c>
      <c r="B1994" s="1">
        <v>74.0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</row>
    <row r="1995">
      <c r="A1995" s="1" t="s">
        <v>2007</v>
      </c>
      <c r="B1995" s="1">
        <v>54.0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</row>
    <row r="1996">
      <c r="A1996" s="1" t="s">
        <v>2008</v>
      </c>
      <c r="B1996" s="1">
        <v>106.0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</row>
    <row r="1997">
      <c r="A1997" s="1" t="s">
        <v>2009</v>
      </c>
      <c r="B1997" s="1">
        <v>7.0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</row>
    <row r="1998">
      <c r="A1998" s="1" t="s">
        <v>2010</v>
      </c>
      <c r="B1998" s="1">
        <v>22.0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</row>
    <row r="1999">
      <c r="A1999" s="1" t="s">
        <v>2011</v>
      </c>
      <c r="B1999" s="1">
        <v>18.0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</row>
    <row r="2000">
      <c r="A2000" s="1" t="s">
        <v>2012</v>
      </c>
      <c r="B2000" s="1">
        <v>68.0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</row>
    <row r="2001">
      <c r="A2001" s="1" t="s">
        <v>2013</v>
      </c>
      <c r="B2001" s="1">
        <v>64.0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</row>
    <row r="2002">
      <c r="A2002" s="1" t="s">
        <v>2014</v>
      </c>
      <c r="B2002" s="1">
        <v>34.0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</row>
    <row r="2003">
      <c r="A2003" s="1" t="s">
        <v>2015</v>
      </c>
      <c r="B2003" s="1">
        <v>78.0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</row>
    <row r="2004">
      <c r="A2004" s="1" t="s">
        <v>2016</v>
      </c>
      <c r="B2004" s="1">
        <v>40.0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</row>
    <row r="2005">
      <c r="A2005" s="1" t="s">
        <v>2017</v>
      </c>
      <c r="B2005" s="1">
        <v>59.0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</row>
    <row r="2006">
      <c r="A2006" s="1" t="s">
        <v>2018</v>
      </c>
      <c r="B2006" s="1">
        <v>178.0</v>
      </c>
      <c r="C2006" s="1">
        <v>1.0</v>
      </c>
      <c r="D2006" s="1">
        <v>0.0</v>
      </c>
      <c r="E2006" s="1">
        <v>0.0</v>
      </c>
      <c r="F2006" s="1">
        <v>0.0</v>
      </c>
      <c r="G2006" s="1">
        <v>1.0</v>
      </c>
    </row>
    <row r="2007">
      <c r="A2007" s="1" t="s">
        <v>2019</v>
      </c>
      <c r="B2007" s="1">
        <v>54.0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</row>
    <row r="2008">
      <c r="A2008" s="1" t="s">
        <v>2020</v>
      </c>
      <c r="B2008" s="1">
        <v>34.0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</row>
    <row r="2009">
      <c r="A2009" s="1" t="s">
        <v>2021</v>
      </c>
      <c r="B2009" s="1">
        <v>55.0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</row>
    <row r="2010">
      <c r="A2010" s="1" t="s">
        <v>2022</v>
      </c>
      <c r="B2010" s="1">
        <v>25.0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</row>
    <row r="2011">
      <c r="A2011" s="1" t="s">
        <v>2023</v>
      </c>
      <c r="B2011" s="1">
        <v>264.0</v>
      </c>
      <c r="C2011" s="1">
        <v>1.0</v>
      </c>
      <c r="D2011" s="1">
        <v>0.0</v>
      </c>
      <c r="E2011" s="1">
        <v>0.0</v>
      </c>
      <c r="F2011" s="1">
        <v>0.0</v>
      </c>
      <c r="G2011" s="1">
        <v>0.0</v>
      </c>
    </row>
    <row r="2012">
      <c r="A2012" s="1" t="s">
        <v>2024</v>
      </c>
      <c r="B2012" s="1">
        <v>31.0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</row>
    <row r="2013">
      <c r="A2013" s="1" t="s">
        <v>2025</v>
      </c>
      <c r="B2013" s="1">
        <v>30.0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</row>
    <row r="2014">
      <c r="A2014" s="1" t="s">
        <v>2026</v>
      </c>
      <c r="B2014" s="1">
        <v>32.0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</row>
    <row r="2015">
      <c r="A2015" s="1" t="s">
        <v>2027</v>
      </c>
      <c r="B2015" s="1">
        <v>9.0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</row>
    <row r="2016">
      <c r="A2016" s="1" t="s">
        <v>2028</v>
      </c>
      <c r="B2016" s="1">
        <v>25.0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</row>
    <row r="2017">
      <c r="A2017" s="1" t="s">
        <v>2029</v>
      </c>
      <c r="B2017" s="1">
        <v>31.0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</row>
    <row r="2018">
      <c r="A2018" s="1" t="s">
        <v>2030</v>
      </c>
      <c r="B2018" s="1">
        <v>68.0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</row>
    <row r="2019">
      <c r="A2019" s="1" t="s">
        <v>2031</v>
      </c>
      <c r="B2019" s="1">
        <v>74.0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</row>
    <row r="2020">
      <c r="A2020" s="1" t="s">
        <v>2032</v>
      </c>
      <c r="B2020" s="1">
        <v>102.0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</row>
    <row r="2021">
      <c r="A2021" s="1" t="s">
        <v>2033</v>
      </c>
      <c r="B2021" s="1">
        <v>4.0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</row>
    <row r="2022">
      <c r="A2022" s="1" t="s">
        <v>2034</v>
      </c>
      <c r="B2022" s="1">
        <v>44.0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</row>
    <row r="2023">
      <c r="A2023" s="1" t="s">
        <v>2035</v>
      </c>
      <c r="B2023" s="1">
        <v>1010.0</v>
      </c>
      <c r="C2023" s="1">
        <v>13.0</v>
      </c>
      <c r="D2023" s="1">
        <v>0.0</v>
      </c>
      <c r="E2023" s="1">
        <v>1.0</v>
      </c>
      <c r="F2023" s="1">
        <v>0.0</v>
      </c>
      <c r="G2023" s="1">
        <v>4.0</v>
      </c>
    </row>
    <row r="2024">
      <c r="A2024" s="1" t="s">
        <v>2036</v>
      </c>
      <c r="B2024" s="1">
        <v>138.0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</row>
    <row r="2025">
      <c r="A2025" s="1" t="s">
        <v>2037</v>
      </c>
      <c r="B2025" s="1">
        <v>6.0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</row>
    <row r="2026">
      <c r="A2026" s="1" t="s">
        <v>2038</v>
      </c>
      <c r="B2026" s="1">
        <v>113.0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</row>
    <row r="2027">
      <c r="A2027" s="1" t="s">
        <v>2039</v>
      </c>
      <c r="B2027" s="1">
        <v>68.0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</row>
    <row r="2028">
      <c r="A2028" s="1" t="s">
        <v>2040</v>
      </c>
      <c r="B2028" s="1">
        <v>12.0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</row>
    <row r="2029">
      <c r="A2029" s="1" t="s">
        <v>2041</v>
      </c>
      <c r="B2029" s="1">
        <v>214.0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</row>
    <row r="2030">
      <c r="A2030" s="1" t="s">
        <v>2042</v>
      </c>
      <c r="B2030" s="1">
        <v>12.0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</row>
    <row r="2031">
      <c r="A2031" s="1" t="s">
        <v>2043</v>
      </c>
      <c r="B2031" s="1">
        <v>10.0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</row>
    <row r="2032">
      <c r="A2032" s="1" t="s">
        <v>2044</v>
      </c>
      <c r="B2032" s="1">
        <v>32.0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</row>
    <row r="2033">
      <c r="A2033" s="1" t="s">
        <v>2045</v>
      </c>
      <c r="B2033" s="1">
        <v>51.0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</row>
    <row r="2034">
      <c r="A2034" s="1" t="s">
        <v>2046</v>
      </c>
      <c r="B2034" s="1">
        <v>34.0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</row>
    <row r="2035">
      <c r="A2035" s="1" t="s">
        <v>2047</v>
      </c>
      <c r="B2035" s="1">
        <v>79.0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</row>
    <row r="2036">
      <c r="A2036" s="1" t="s">
        <v>2048</v>
      </c>
      <c r="B2036" s="1">
        <v>132.0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</row>
    <row r="2037">
      <c r="A2037" s="1" t="s">
        <v>2049</v>
      </c>
      <c r="B2037" s="1">
        <v>25.0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</row>
    <row r="2038">
      <c r="A2038" s="1" t="s">
        <v>2050</v>
      </c>
      <c r="B2038" s="1">
        <v>5.0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</row>
    <row r="2039">
      <c r="A2039" s="1" t="s">
        <v>2051</v>
      </c>
      <c r="B2039" s="1">
        <v>23.0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</row>
    <row r="2040">
      <c r="A2040" s="1" t="s">
        <v>2052</v>
      </c>
      <c r="B2040" s="1">
        <v>4.0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</row>
    <row r="2041">
      <c r="A2041" s="1" t="s">
        <v>2053</v>
      </c>
      <c r="B2041" s="1">
        <v>16.0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</row>
    <row r="2042">
      <c r="A2042" s="1" t="s">
        <v>2054</v>
      </c>
      <c r="B2042" s="1">
        <v>95.0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</row>
    <row r="2043">
      <c r="A2043" s="1" t="s">
        <v>2055</v>
      </c>
      <c r="B2043" s="1">
        <v>7.0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</row>
    <row r="2044">
      <c r="A2044" s="1" t="s">
        <v>2056</v>
      </c>
      <c r="B2044" s="1">
        <v>10.0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</row>
    <row r="2045">
      <c r="A2045" s="1" t="s">
        <v>2057</v>
      </c>
      <c r="B2045" s="1">
        <v>25.0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</row>
    <row r="2046">
      <c r="A2046" s="1" t="s">
        <v>2058</v>
      </c>
      <c r="B2046" s="1">
        <v>32.0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</row>
    <row r="2047">
      <c r="A2047" s="1" t="s">
        <v>2059</v>
      </c>
      <c r="B2047" s="1">
        <v>10.0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</row>
    <row r="2048">
      <c r="A2048" s="1" t="s">
        <v>2060</v>
      </c>
      <c r="B2048" s="1">
        <v>37.0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</row>
    <row r="2049">
      <c r="A2049" s="1" t="s">
        <v>2061</v>
      </c>
      <c r="B2049" s="1">
        <v>42.0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</row>
    <row r="2050">
      <c r="A2050" s="1" t="s">
        <v>2062</v>
      </c>
      <c r="B2050" s="1">
        <v>8.0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</row>
    <row r="2051">
      <c r="A2051" s="1" t="s">
        <v>2063</v>
      </c>
      <c r="B2051" s="1">
        <v>10.0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</row>
    <row r="2052">
      <c r="A2052" s="1" t="s">
        <v>2064</v>
      </c>
      <c r="B2052" s="1">
        <v>4.0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</row>
    <row r="2053">
      <c r="A2053" s="1" t="s">
        <v>2065</v>
      </c>
      <c r="B2053" s="1">
        <v>17.0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</row>
    <row r="2054">
      <c r="A2054" s="1" t="s">
        <v>2066</v>
      </c>
      <c r="B2054" s="1">
        <v>40.0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</row>
    <row r="2055">
      <c r="A2055" s="1" t="s">
        <v>2067</v>
      </c>
      <c r="B2055" s="1">
        <v>180.0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</row>
    <row r="2056">
      <c r="A2056" s="1" t="s">
        <v>2068</v>
      </c>
      <c r="B2056" s="1">
        <v>35.0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</row>
    <row r="2057">
      <c r="A2057" s="1" t="s">
        <v>2069</v>
      </c>
      <c r="B2057" s="1">
        <v>427.0</v>
      </c>
      <c r="C2057" s="1">
        <v>6.0</v>
      </c>
      <c r="D2057" s="1">
        <v>0.0</v>
      </c>
      <c r="E2057" s="1">
        <v>0.0</v>
      </c>
      <c r="F2057" s="1">
        <v>0.0</v>
      </c>
      <c r="G2057" s="1">
        <v>1.0</v>
      </c>
    </row>
    <row r="2058">
      <c r="A2058" s="1" t="s">
        <v>2070</v>
      </c>
      <c r="B2058" s="1">
        <v>115.0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</row>
    <row r="2059">
      <c r="A2059" s="1" t="s">
        <v>2071</v>
      </c>
      <c r="B2059" s="1">
        <v>52.0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</row>
    <row r="2060">
      <c r="A2060" s="1" t="s">
        <v>2072</v>
      </c>
      <c r="B2060" s="1">
        <v>13.0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</row>
    <row r="2061">
      <c r="A2061" s="1" t="s">
        <v>2073</v>
      </c>
      <c r="B2061" s="1">
        <v>210.0</v>
      </c>
      <c r="C2061" s="1">
        <v>1.0</v>
      </c>
      <c r="D2061" s="1">
        <v>0.0</v>
      </c>
      <c r="E2061" s="1">
        <v>0.0</v>
      </c>
      <c r="F2061" s="1">
        <v>0.0</v>
      </c>
      <c r="G2061" s="1">
        <v>0.0</v>
      </c>
    </row>
    <row r="2062">
      <c r="A2062" s="1" t="s">
        <v>2074</v>
      </c>
      <c r="B2062" s="1">
        <v>25.0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</row>
    <row r="2063">
      <c r="A2063" s="1" t="s">
        <v>2075</v>
      </c>
      <c r="B2063" s="1">
        <v>132.0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</row>
    <row r="2064">
      <c r="A2064" s="1" t="s">
        <v>2076</v>
      </c>
      <c r="B2064" s="1">
        <v>15.0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</row>
    <row r="2065">
      <c r="A2065" s="1" t="s">
        <v>2077</v>
      </c>
      <c r="B2065" s="1">
        <v>38.0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</row>
    <row r="2066">
      <c r="A2066" s="1" t="s">
        <v>2078</v>
      </c>
      <c r="B2066" s="1">
        <v>62.0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</row>
    <row r="2067">
      <c r="A2067" s="1" t="s">
        <v>2079</v>
      </c>
      <c r="B2067" s="1">
        <v>26.0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</row>
    <row r="2068">
      <c r="A2068" s="1" t="s">
        <v>2080</v>
      </c>
      <c r="B2068" s="1">
        <v>48.0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</row>
    <row r="2069">
      <c r="A2069" s="1" t="s">
        <v>2081</v>
      </c>
      <c r="B2069" s="1">
        <v>5.0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</row>
    <row r="2070">
      <c r="A2070" s="1" t="s">
        <v>2082</v>
      </c>
      <c r="B2070" s="1">
        <v>147.0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</row>
    <row r="2071">
      <c r="A2071" s="1" t="s">
        <v>2083</v>
      </c>
      <c r="B2071" s="1">
        <v>26.0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</row>
    <row r="2072">
      <c r="A2072" s="1" t="s">
        <v>2084</v>
      </c>
      <c r="B2072" s="1">
        <v>929.0</v>
      </c>
      <c r="C2072" s="1">
        <v>8.0</v>
      </c>
      <c r="D2072" s="1">
        <v>0.0</v>
      </c>
      <c r="E2072" s="1">
        <v>0.0</v>
      </c>
      <c r="F2072" s="1">
        <v>0.0</v>
      </c>
      <c r="G2072" s="1">
        <v>1.0</v>
      </c>
    </row>
    <row r="2073">
      <c r="A2073" s="1" t="s">
        <v>2085</v>
      </c>
      <c r="B2073" s="1">
        <v>5.0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</row>
    <row r="2074">
      <c r="A2074" s="1" t="s">
        <v>2086</v>
      </c>
      <c r="B2074" s="1">
        <v>100.0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</row>
    <row r="2075">
      <c r="A2075" s="1" t="s">
        <v>2087</v>
      </c>
      <c r="B2075" s="1">
        <v>6.0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</row>
    <row r="2076">
      <c r="A2076" s="1" t="s">
        <v>2088</v>
      </c>
      <c r="B2076" s="1">
        <v>73.0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</row>
    <row r="2077">
      <c r="A2077" s="1" t="s">
        <v>2089</v>
      </c>
      <c r="B2077" s="1">
        <v>9.0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</row>
    <row r="2078">
      <c r="A2078" s="1" t="s">
        <v>2090</v>
      </c>
      <c r="B2078" s="1">
        <v>15.0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</row>
    <row r="2079">
      <c r="A2079" s="1" t="s">
        <v>2091</v>
      </c>
      <c r="B2079" s="1">
        <v>27.0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</row>
    <row r="2080">
      <c r="A2080" s="1" t="s">
        <v>2092</v>
      </c>
      <c r="B2080" s="1">
        <v>168.0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</row>
    <row r="2081">
      <c r="A2081" s="1" t="s">
        <v>2093</v>
      </c>
      <c r="B2081" s="1">
        <v>28.0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</row>
    <row r="2082">
      <c r="A2082" s="1" t="s">
        <v>2094</v>
      </c>
      <c r="B2082" s="1">
        <v>116.0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</row>
    <row r="2083">
      <c r="A2083" s="1" t="s">
        <v>2095</v>
      </c>
      <c r="B2083" s="1">
        <v>2641.0</v>
      </c>
      <c r="C2083" s="1">
        <v>35.0</v>
      </c>
      <c r="D2083" s="1">
        <v>3.0</v>
      </c>
      <c r="E2083" s="1">
        <v>5.0</v>
      </c>
      <c r="F2083" s="1">
        <v>3.0</v>
      </c>
      <c r="G2083" s="1">
        <v>12.0</v>
      </c>
    </row>
    <row r="2084">
      <c r="A2084" s="1" t="s">
        <v>2096</v>
      </c>
      <c r="B2084" s="1">
        <v>1043.0</v>
      </c>
      <c r="C2084" s="1">
        <v>12.0</v>
      </c>
      <c r="D2084" s="1">
        <v>1.0</v>
      </c>
      <c r="E2084" s="1">
        <v>2.0</v>
      </c>
      <c r="F2084" s="1">
        <v>0.0</v>
      </c>
      <c r="G2084" s="1">
        <v>14.0</v>
      </c>
    </row>
    <row r="2085">
      <c r="A2085" s="1" t="s">
        <v>2097</v>
      </c>
      <c r="B2085" s="1">
        <v>60.0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</row>
    <row r="2086">
      <c r="A2086" s="1" t="s">
        <v>2098</v>
      </c>
      <c r="B2086" s="1">
        <v>68019.0</v>
      </c>
      <c r="C2086" s="1">
        <v>685.0</v>
      </c>
      <c r="D2086" s="1">
        <v>657.0</v>
      </c>
      <c r="E2086" s="1">
        <v>655.0</v>
      </c>
      <c r="F2086" s="1">
        <v>21.0</v>
      </c>
      <c r="G2086" s="1">
        <v>34.0</v>
      </c>
    </row>
    <row r="2087">
      <c r="A2087" s="1" t="s">
        <v>2099</v>
      </c>
      <c r="B2087" s="1">
        <v>1544.0</v>
      </c>
      <c r="C2087" s="1">
        <v>15.0</v>
      </c>
      <c r="D2087" s="1">
        <v>3.0</v>
      </c>
      <c r="E2087" s="1">
        <v>1.0</v>
      </c>
      <c r="F2087" s="1">
        <v>0.0</v>
      </c>
      <c r="G2087" s="1">
        <v>4.0</v>
      </c>
    </row>
    <row r="2088">
      <c r="A2088" s="1" t="s">
        <v>2100</v>
      </c>
      <c r="B2088" s="1">
        <v>124.0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</row>
    <row r="2089">
      <c r="A2089" s="1" t="s">
        <v>2101</v>
      </c>
      <c r="B2089" s="1">
        <v>139.0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</row>
    <row r="2090">
      <c r="A2090" s="1" t="s">
        <v>2102</v>
      </c>
      <c r="B2090" s="1">
        <v>7849.0</v>
      </c>
      <c r="C2090" s="1">
        <v>205.0</v>
      </c>
      <c r="D2090" s="1">
        <v>133.0</v>
      </c>
      <c r="E2090" s="1">
        <v>135.0</v>
      </c>
      <c r="F2090" s="1">
        <v>136.0</v>
      </c>
      <c r="G2090" s="1">
        <v>138.0</v>
      </c>
    </row>
    <row r="2091">
      <c r="A2091" s="1" t="s">
        <v>2103</v>
      </c>
      <c r="B2091" s="1">
        <v>72.0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</row>
    <row r="2092">
      <c r="A2092" s="1" t="s">
        <v>2104</v>
      </c>
      <c r="B2092" s="1">
        <v>668.0</v>
      </c>
      <c r="C2092" s="1">
        <v>8.0</v>
      </c>
      <c r="D2092" s="1">
        <v>0.0</v>
      </c>
      <c r="E2092" s="1">
        <v>1.0</v>
      </c>
      <c r="F2092" s="1">
        <v>0.0</v>
      </c>
      <c r="G2092" s="1">
        <v>4.0</v>
      </c>
    </row>
    <row r="2093">
      <c r="A2093" s="1" t="s">
        <v>2105</v>
      </c>
      <c r="B2093" s="1">
        <v>1069.0</v>
      </c>
      <c r="C2093" s="1">
        <v>5.0</v>
      </c>
      <c r="D2093" s="1">
        <v>1.0</v>
      </c>
      <c r="E2093" s="1">
        <v>1.0</v>
      </c>
      <c r="F2093" s="1">
        <v>0.0</v>
      </c>
      <c r="G2093" s="1">
        <v>9.0</v>
      </c>
    </row>
    <row r="2094">
      <c r="A2094" s="1" t="s">
        <v>2106</v>
      </c>
      <c r="B2094" s="1">
        <v>1047.0</v>
      </c>
      <c r="C2094" s="1">
        <v>2.0</v>
      </c>
      <c r="D2094" s="1">
        <v>1.0</v>
      </c>
      <c r="E2094" s="1">
        <v>1.0</v>
      </c>
      <c r="F2094" s="1">
        <v>1.0</v>
      </c>
      <c r="G2094" s="1">
        <v>1.0</v>
      </c>
    </row>
    <row r="2095">
      <c r="A2095" s="1" t="s">
        <v>2107</v>
      </c>
      <c r="B2095" s="1">
        <v>56.0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</row>
    <row r="2096">
      <c r="A2096" s="1" t="s">
        <v>2108</v>
      </c>
      <c r="B2096" s="1">
        <v>22.0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</row>
    <row r="2097">
      <c r="A2097" s="1" t="s">
        <v>2109</v>
      </c>
      <c r="B2097" s="1">
        <v>1316.0</v>
      </c>
      <c r="C2097" s="1">
        <v>6.0</v>
      </c>
      <c r="D2097" s="1">
        <v>1.0</v>
      </c>
      <c r="E2097" s="1">
        <v>2.0</v>
      </c>
      <c r="F2097" s="1">
        <v>1.0</v>
      </c>
      <c r="G2097" s="1">
        <v>7.0</v>
      </c>
    </row>
    <row r="2098">
      <c r="A2098" s="1" t="s">
        <v>2110</v>
      </c>
      <c r="B2098" s="1">
        <v>197.0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</row>
    <row r="2099">
      <c r="A2099" s="1" t="s">
        <v>2111</v>
      </c>
      <c r="B2099" s="1">
        <v>12604.0</v>
      </c>
      <c r="C2099" s="1">
        <v>776.0</v>
      </c>
      <c r="D2099" s="1">
        <v>240.0</v>
      </c>
      <c r="E2099" s="1">
        <v>52.0</v>
      </c>
      <c r="F2099" s="1">
        <v>7.0</v>
      </c>
      <c r="G2099" s="1">
        <v>156.0</v>
      </c>
    </row>
    <row r="2100">
      <c r="A2100" s="1" t="s">
        <v>2112</v>
      </c>
      <c r="B2100" s="1">
        <v>1925.0</v>
      </c>
      <c r="C2100" s="1">
        <v>12.0</v>
      </c>
      <c r="D2100" s="1">
        <v>2.0</v>
      </c>
      <c r="E2100" s="1">
        <v>2.0</v>
      </c>
      <c r="F2100" s="1">
        <v>0.0</v>
      </c>
      <c r="G2100" s="1">
        <v>7.0</v>
      </c>
    </row>
    <row r="2101">
      <c r="A2101" s="1" t="s">
        <v>2113</v>
      </c>
      <c r="B2101" s="1">
        <v>2004.0</v>
      </c>
      <c r="C2101" s="1">
        <v>38.0</v>
      </c>
      <c r="D2101" s="1">
        <v>6.0</v>
      </c>
      <c r="E2101" s="1">
        <v>3.0</v>
      </c>
      <c r="F2101" s="1">
        <v>1.0</v>
      </c>
      <c r="G2101" s="1">
        <v>11.0</v>
      </c>
    </row>
    <row r="2102">
      <c r="A2102" s="1" t="s">
        <v>2114</v>
      </c>
      <c r="B2102" s="1">
        <v>402.0</v>
      </c>
      <c r="C2102" s="1">
        <v>1.0</v>
      </c>
      <c r="D2102" s="1">
        <v>0.0</v>
      </c>
      <c r="E2102" s="1">
        <v>0.0</v>
      </c>
      <c r="F2102" s="1">
        <v>0.0</v>
      </c>
      <c r="G2102" s="1">
        <v>2.0</v>
      </c>
    </row>
    <row r="2103">
      <c r="A2103" s="1" t="s">
        <v>2115</v>
      </c>
      <c r="B2103" s="1">
        <v>12535.0</v>
      </c>
      <c r="C2103" s="1">
        <v>1875.0</v>
      </c>
      <c r="D2103" s="1">
        <v>360.0</v>
      </c>
      <c r="E2103" s="1">
        <v>43.0</v>
      </c>
      <c r="F2103" s="1">
        <v>12.0</v>
      </c>
      <c r="G2103" s="1">
        <v>449.0</v>
      </c>
    </row>
    <row r="2104">
      <c r="A2104" s="1" t="s">
        <v>2116</v>
      </c>
      <c r="B2104" s="1">
        <v>382.0</v>
      </c>
      <c r="C2104" s="1">
        <v>3.0</v>
      </c>
      <c r="D2104" s="1">
        <v>0.0</v>
      </c>
      <c r="E2104" s="1">
        <v>0.0</v>
      </c>
      <c r="F2104" s="1">
        <v>0.0</v>
      </c>
      <c r="G2104" s="1">
        <v>3.0</v>
      </c>
    </row>
    <row r="2105">
      <c r="A2105" s="1" t="s">
        <v>2117</v>
      </c>
      <c r="B2105" s="1">
        <v>121.0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</row>
    <row r="2106">
      <c r="A2106" s="1" t="s">
        <v>2118</v>
      </c>
      <c r="B2106" s="1">
        <v>82.0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</row>
    <row r="2107">
      <c r="A2107" s="1" t="s">
        <v>2119</v>
      </c>
      <c r="B2107" s="1">
        <v>135.0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</row>
    <row r="2108">
      <c r="A2108" s="1" t="s">
        <v>2120</v>
      </c>
      <c r="B2108" s="1">
        <v>39.0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</row>
    <row r="2109">
      <c r="A2109" s="1" t="s">
        <v>2121</v>
      </c>
      <c r="B2109" s="1">
        <v>661.0</v>
      </c>
      <c r="C2109" s="1">
        <v>4.0</v>
      </c>
      <c r="D2109" s="1">
        <v>1.0</v>
      </c>
      <c r="E2109" s="1">
        <v>1.0</v>
      </c>
      <c r="F2109" s="1">
        <v>0.0</v>
      </c>
      <c r="G2109" s="1">
        <v>9.0</v>
      </c>
    </row>
    <row r="2110">
      <c r="A2110" s="1" t="s">
        <v>2122</v>
      </c>
      <c r="B2110" s="1">
        <v>36.0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</row>
    <row r="2111">
      <c r="A2111" s="1" t="s">
        <v>2123</v>
      </c>
      <c r="B2111" s="1">
        <v>36.0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</row>
    <row r="2112">
      <c r="A2112" s="1" t="s">
        <v>2124</v>
      </c>
      <c r="B2112" s="1">
        <v>31.0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</row>
    <row r="2113">
      <c r="A2113" s="1" t="s">
        <v>2125</v>
      </c>
      <c r="B2113" s="1">
        <v>27.0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</row>
    <row r="2114">
      <c r="A2114" s="1" t="s">
        <v>2126</v>
      </c>
      <c r="B2114" s="1">
        <v>148.0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</row>
    <row r="2115">
      <c r="A2115" s="1" t="s">
        <v>2127</v>
      </c>
      <c r="B2115" s="1">
        <v>59.0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</row>
    <row r="2116">
      <c r="A2116" s="1" t="s">
        <v>2128</v>
      </c>
      <c r="B2116" s="1">
        <v>23.0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</row>
    <row r="2117">
      <c r="A2117" s="1" t="s">
        <v>2129</v>
      </c>
      <c r="B2117" s="1">
        <v>28.0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</row>
    <row r="2118">
      <c r="A2118" s="1" t="s">
        <v>2130</v>
      </c>
      <c r="B2118" s="1">
        <v>23.0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</row>
    <row r="2119">
      <c r="A2119" s="1" t="s">
        <v>2131</v>
      </c>
      <c r="B2119" s="1">
        <v>23.0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</row>
    <row r="2120">
      <c r="A2120" s="1" t="s">
        <v>2132</v>
      </c>
      <c r="B2120" s="1">
        <v>39.0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</row>
    <row r="2121">
      <c r="A2121" s="1" t="s">
        <v>2133</v>
      </c>
      <c r="B2121" s="1">
        <v>918.0</v>
      </c>
      <c r="C2121" s="1">
        <v>7.0</v>
      </c>
      <c r="D2121" s="1">
        <v>3.0</v>
      </c>
      <c r="E2121" s="1">
        <v>1.0</v>
      </c>
      <c r="F2121" s="1">
        <v>0.0</v>
      </c>
      <c r="G2121" s="1">
        <v>8.0</v>
      </c>
    </row>
    <row r="2122">
      <c r="A2122" s="1" t="s">
        <v>2134</v>
      </c>
      <c r="B2122" s="1">
        <v>140.0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</row>
    <row r="2123">
      <c r="A2123" s="1" t="s">
        <v>2135</v>
      </c>
      <c r="B2123" s="1">
        <v>1.0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</row>
    <row r="2124">
      <c r="A2124" s="1" t="s">
        <v>2136</v>
      </c>
      <c r="B2124" s="1">
        <v>31.0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</row>
    <row r="2125">
      <c r="A2125" s="1" t="s">
        <v>2137</v>
      </c>
      <c r="B2125" s="1">
        <v>23.0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</row>
    <row r="2126">
      <c r="A2126" s="1" t="s">
        <v>2138</v>
      </c>
      <c r="B2126" s="1">
        <v>26.0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</row>
    <row r="2127">
      <c r="A2127" s="1" t="s">
        <v>2139</v>
      </c>
      <c r="B2127" s="1">
        <v>54.0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</row>
    <row r="2128">
      <c r="A2128" s="1" t="s">
        <v>2140</v>
      </c>
      <c r="B2128" s="1">
        <v>34.0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</row>
    <row r="2129">
      <c r="A2129" s="1" t="s">
        <v>2141</v>
      </c>
      <c r="B2129" s="1">
        <v>657.0</v>
      </c>
      <c r="C2129" s="1">
        <v>3.0</v>
      </c>
      <c r="D2129" s="1">
        <v>1.0</v>
      </c>
      <c r="E2129" s="1">
        <v>1.0</v>
      </c>
      <c r="F2129" s="1">
        <v>0.0</v>
      </c>
      <c r="G2129" s="1">
        <v>7.0</v>
      </c>
    </row>
    <row r="2130">
      <c r="A2130" s="1" t="s">
        <v>2142</v>
      </c>
      <c r="B2130" s="1">
        <v>23.0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</row>
    <row r="2131">
      <c r="A2131" s="1" t="s">
        <v>2143</v>
      </c>
      <c r="B2131" s="1">
        <v>1.0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</row>
    <row r="2132">
      <c r="A2132" s="1" t="s">
        <v>2144</v>
      </c>
      <c r="B2132" s="1">
        <v>40.0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</row>
    <row r="2133">
      <c r="A2133" s="1" t="s">
        <v>2145</v>
      </c>
      <c r="B2133" s="1">
        <v>34.0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</row>
    <row r="2134">
      <c r="A2134" s="1" t="s">
        <v>2146</v>
      </c>
      <c r="B2134" s="1">
        <v>36.0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</row>
    <row r="2135">
      <c r="A2135" s="1" t="s">
        <v>2147</v>
      </c>
      <c r="B2135" s="1">
        <v>238.0</v>
      </c>
      <c r="C2135" s="1">
        <v>1.0</v>
      </c>
      <c r="D2135" s="1">
        <v>0.0</v>
      </c>
      <c r="E2135" s="1">
        <v>0.0</v>
      </c>
      <c r="F2135" s="1">
        <v>0.0</v>
      </c>
      <c r="G2135" s="1">
        <v>1.0</v>
      </c>
    </row>
    <row r="2136">
      <c r="A2136" s="1" t="s">
        <v>2148</v>
      </c>
      <c r="B2136" s="1">
        <v>36.0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</row>
    <row r="2137">
      <c r="A2137" s="1" t="s">
        <v>2149</v>
      </c>
      <c r="B2137" s="1">
        <v>68.0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</row>
    <row r="2138">
      <c r="A2138" s="1" t="s">
        <v>2150</v>
      </c>
      <c r="B2138" s="1">
        <v>574.0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</row>
    <row r="2139">
      <c r="A2139" s="1" t="s">
        <v>2151</v>
      </c>
      <c r="B2139" s="1">
        <v>1192.0</v>
      </c>
      <c r="C2139" s="1">
        <v>2.0</v>
      </c>
      <c r="D2139" s="1">
        <v>0.0</v>
      </c>
      <c r="E2139" s="1">
        <v>0.0</v>
      </c>
      <c r="F2139" s="1">
        <v>0.0</v>
      </c>
      <c r="G2139" s="1">
        <v>1.0</v>
      </c>
    </row>
    <row r="2140">
      <c r="A2140" s="1" t="s">
        <v>2152</v>
      </c>
      <c r="B2140" s="1">
        <v>731.0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</row>
    <row r="2141">
      <c r="A2141" s="1" t="s">
        <v>2153</v>
      </c>
      <c r="B2141" s="1">
        <v>792.0</v>
      </c>
      <c r="C2141" s="1">
        <v>3.0</v>
      </c>
      <c r="D2141" s="1">
        <v>0.0</v>
      </c>
      <c r="E2141" s="1">
        <v>0.0</v>
      </c>
      <c r="F2141" s="1">
        <v>0.0</v>
      </c>
      <c r="G2141" s="1">
        <v>1.0</v>
      </c>
    </row>
    <row r="2142">
      <c r="A2142" s="1" t="s">
        <v>2154</v>
      </c>
      <c r="B2142" s="1">
        <v>173.0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</row>
    <row r="2143">
      <c r="A2143" s="1" t="s">
        <v>2155</v>
      </c>
      <c r="B2143" s="1">
        <v>77.0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</row>
    <row r="2144">
      <c r="A2144" s="1" t="s">
        <v>2156</v>
      </c>
      <c r="B2144" s="1">
        <v>107.0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</row>
    <row r="2145">
      <c r="A2145" s="1" t="s">
        <v>2157</v>
      </c>
      <c r="B2145" s="1">
        <v>3203.0</v>
      </c>
      <c r="C2145" s="1">
        <v>13.0</v>
      </c>
      <c r="D2145" s="1">
        <v>1.0</v>
      </c>
      <c r="E2145" s="1">
        <v>1.0</v>
      </c>
      <c r="F2145" s="1">
        <v>1.0</v>
      </c>
      <c r="G2145" s="1">
        <v>2.0</v>
      </c>
    </row>
    <row r="2146">
      <c r="A2146" s="1" t="s">
        <v>2158</v>
      </c>
      <c r="B2146" s="1">
        <v>284.0</v>
      </c>
      <c r="C2146" s="1">
        <v>1.0</v>
      </c>
      <c r="D2146" s="1">
        <v>0.0</v>
      </c>
      <c r="E2146" s="1">
        <v>0.0</v>
      </c>
      <c r="F2146" s="1">
        <v>0.0</v>
      </c>
      <c r="G2146" s="1">
        <v>1.0</v>
      </c>
    </row>
    <row r="2147">
      <c r="A2147" s="1" t="s">
        <v>2159</v>
      </c>
      <c r="B2147" s="1">
        <v>2832.0</v>
      </c>
      <c r="C2147" s="1">
        <v>2.0</v>
      </c>
      <c r="D2147" s="1">
        <v>1.0</v>
      </c>
      <c r="E2147" s="1">
        <v>1.0</v>
      </c>
      <c r="F2147" s="1">
        <v>1.0</v>
      </c>
      <c r="G2147" s="1">
        <v>2.0</v>
      </c>
    </row>
    <row r="2148">
      <c r="A2148" s="1" t="s">
        <v>2160</v>
      </c>
      <c r="B2148" s="1">
        <v>91.0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</row>
    <row r="2149">
      <c r="A2149" s="1" t="s">
        <v>2161</v>
      </c>
      <c r="B2149" s="1">
        <v>66.0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</row>
    <row r="2150">
      <c r="A2150" s="1" t="s">
        <v>2162</v>
      </c>
      <c r="B2150" s="1">
        <v>2180.0</v>
      </c>
      <c r="C2150" s="1">
        <v>2.0</v>
      </c>
      <c r="D2150" s="1">
        <v>1.0</v>
      </c>
      <c r="E2150" s="1">
        <v>2.0</v>
      </c>
      <c r="F2150" s="1">
        <v>1.0</v>
      </c>
      <c r="G2150" s="1">
        <v>2.0</v>
      </c>
    </row>
    <row r="2151">
      <c r="A2151" s="1" t="s">
        <v>2163</v>
      </c>
      <c r="B2151" s="1">
        <v>63.0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</row>
    <row r="2152">
      <c r="A2152" s="1" t="s">
        <v>2164</v>
      </c>
      <c r="B2152" s="1">
        <v>1880.0</v>
      </c>
      <c r="C2152" s="1">
        <v>9.0</v>
      </c>
      <c r="D2152" s="1">
        <v>0.0</v>
      </c>
      <c r="E2152" s="1">
        <v>1.0</v>
      </c>
      <c r="F2152" s="1">
        <v>0.0</v>
      </c>
      <c r="G2152" s="1">
        <v>2.0</v>
      </c>
    </row>
    <row r="2153">
      <c r="A2153" s="1" t="s">
        <v>2165</v>
      </c>
      <c r="B2153" s="1">
        <v>73.0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</row>
    <row r="2154">
      <c r="A2154" s="1" t="s">
        <v>2166</v>
      </c>
      <c r="B2154" s="1">
        <v>100.0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</row>
    <row r="2155">
      <c r="A2155" s="1" t="s">
        <v>2167</v>
      </c>
      <c r="B2155" s="1">
        <v>2384.0</v>
      </c>
      <c r="C2155" s="1">
        <v>14.0</v>
      </c>
      <c r="D2155" s="1">
        <v>1.0</v>
      </c>
      <c r="E2155" s="1">
        <v>1.0</v>
      </c>
      <c r="F2155" s="1">
        <v>0.0</v>
      </c>
      <c r="G2155" s="1">
        <v>3.0</v>
      </c>
    </row>
    <row r="2156">
      <c r="A2156" s="1" t="s">
        <v>2168</v>
      </c>
      <c r="B2156" s="1">
        <v>620.0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</row>
    <row r="2157">
      <c r="A2157" s="1" t="s">
        <v>2169</v>
      </c>
      <c r="B2157" s="1">
        <v>1084.0</v>
      </c>
      <c r="C2157" s="1">
        <v>2.0</v>
      </c>
      <c r="D2157" s="1">
        <v>0.0</v>
      </c>
      <c r="E2157" s="1">
        <v>0.0</v>
      </c>
      <c r="F2157" s="1">
        <v>0.0</v>
      </c>
      <c r="G2157" s="1">
        <v>0.0</v>
      </c>
    </row>
    <row r="2158">
      <c r="A2158" s="1" t="s">
        <v>2170</v>
      </c>
      <c r="B2158" s="1">
        <v>873.0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</row>
    <row r="2159">
      <c r="A2159" s="1" t="s">
        <v>2171</v>
      </c>
      <c r="B2159" s="1">
        <v>107.0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</row>
    <row r="2160">
      <c r="A2160" s="1" t="s">
        <v>2172</v>
      </c>
      <c r="B2160" s="1">
        <v>91.0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</row>
    <row r="2161">
      <c r="A2161" s="1" t="s">
        <v>2173</v>
      </c>
      <c r="B2161" s="1">
        <v>288.0</v>
      </c>
      <c r="C2161" s="1">
        <v>1.0</v>
      </c>
      <c r="D2161" s="1">
        <v>0.0</v>
      </c>
      <c r="E2161" s="1">
        <v>0.0</v>
      </c>
      <c r="F2161" s="1">
        <v>0.0</v>
      </c>
      <c r="G2161" s="1">
        <v>1.0</v>
      </c>
    </row>
    <row r="2162">
      <c r="A2162" s="1" t="s">
        <v>2174</v>
      </c>
      <c r="B2162" s="1">
        <v>85.0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</row>
    <row r="2163">
      <c r="A2163" s="1" t="s">
        <v>2175</v>
      </c>
      <c r="B2163" s="1">
        <v>2465.0</v>
      </c>
      <c r="C2163" s="1">
        <v>2.0</v>
      </c>
      <c r="D2163" s="1">
        <v>2.0</v>
      </c>
      <c r="E2163" s="1">
        <v>2.0</v>
      </c>
      <c r="F2163" s="1">
        <v>2.0</v>
      </c>
      <c r="G2163" s="1">
        <v>2.0</v>
      </c>
    </row>
    <row r="2164">
      <c r="A2164" s="1" t="s">
        <v>2176</v>
      </c>
      <c r="B2164" s="1">
        <v>64.0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</row>
    <row r="2165">
      <c r="A2165" s="1" t="s">
        <v>2177</v>
      </c>
      <c r="B2165" s="1">
        <v>135.0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</row>
    <row r="2166">
      <c r="A2166" s="1" t="s">
        <v>2178</v>
      </c>
      <c r="B2166" s="1">
        <v>107.0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</row>
    <row r="2167">
      <c r="A2167" s="1" t="s">
        <v>2179</v>
      </c>
      <c r="B2167" s="1">
        <v>780.0</v>
      </c>
      <c r="C2167" s="1">
        <v>1.0</v>
      </c>
      <c r="D2167" s="1">
        <v>0.0</v>
      </c>
      <c r="E2167" s="1">
        <v>0.0</v>
      </c>
      <c r="F2167" s="1">
        <v>0.0</v>
      </c>
      <c r="G2167" s="1">
        <v>1.0</v>
      </c>
    </row>
    <row r="2168">
      <c r="A2168" s="1" t="s">
        <v>2180</v>
      </c>
      <c r="B2168" s="1">
        <v>384.0</v>
      </c>
      <c r="C2168" s="1">
        <v>1.0</v>
      </c>
      <c r="D2168" s="1">
        <v>0.0</v>
      </c>
      <c r="E2168" s="1">
        <v>0.0</v>
      </c>
      <c r="F2168" s="1">
        <v>0.0</v>
      </c>
      <c r="G2168" s="1">
        <v>0.0</v>
      </c>
    </row>
    <row r="2169">
      <c r="A2169" s="1" t="s">
        <v>2181</v>
      </c>
      <c r="B2169" s="1">
        <v>40.0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</row>
    <row r="2170">
      <c r="A2170" s="1" t="s">
        <v>2182</v>
      </c>
      <c r="B2170" s="1">
        <v>15991.0</v>
      </c>
      <c r="C2170" s="1">
        <v>346.0</v>
      </c>
      <c r="D2170" s="1">
        <v>6.0</v>
      </c>
      <c r="E2170" s="1">
        <v>6.0</v>
      </c>
      <c r="F2170" s="1">
        <v>6.0</v>
      </c>
      <c r="G2170" s="1">
        <v>7.0</v>
      </c>
    </row>
    <row r="2171">
      <c r="A2171" s="1" t="s">
        <v>2183</v>
      </c>
      <c r="B2171" s="1">
        <v>114.0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</row>
    <row r="2172">
      <c r="A2172" s="1" t="s">
        <v>2184</v>
      </c>
      <c r="B2172" s="1">
        <v>111.0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</row>
    <row r="2173">
      <c r="A2173" s="1" t="s">
        <v>2185</v>
      </c>
      <c r="B2173" s="1">
        <v>1453.0</v>
      </c>
      <c r="C2173" s="1">
        <v>4.0</v>
      </c>
      <c r="D2173" s="1">
        <v>0.0</v>
      </c>
      <c r="E2173" s="1">
        <v>1.0</v>
      </c>
      <c r="F2173" s="1">
        <v>0.0</v>
      </c>
      <c r="G2173" s="1">
        <v>1.0</v>
      </c>
    </row>
    <row r="2174">
      <c r="A2174" s="1" t="s">
        <v>2186</v>
      </c>
      <c r="B2174" s="1">
        <v>1361.0</v>
      </c>
      <c r="C2174" s="1">
        <v>22.0</v>
      </c>
      <c r="D2174" s="1">
        <v>1.0</v>
      </c>
      <c r="E2174" s="1">
        <v>2.0</v>
      </c>
      <c r="F2174" s="1">
        <v>0.0</v>
      </c>
      <c r="G2174" s="1">
        <v>13.0</v>
      </c>
    </row>
    <row r="2175">
      <c r="A2175" s="1" t="s">
        <v>2187</v>
      </c>
      <c r="B2175" s="1">
        <v>17092.0</v>
      </c>
      <c r="C2175" s="1">
        <v>291.0</v>
      </c>
      <c r="D2175" s="1">
        <v>5.0</v>
      </c>
      <c r="E2175" s="1">
        <v>5.0</v>
      </c>
      <c r="F2175" s="1">
        <v>5.0</v>
      </c>
      <c r="G2175" s="1">
        <v>6.0</v>
      </c>
    </row>
    <row r="2176">
      <c r="A2176" s="1" t="s">
        <v>2188</v>
      </c>
      <c r="B2176" s="1">
        <v>79.0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</row>
    <row r="2177">
      <c r="A2177" s="1" t="s">
        <v>2189</v>
      </c>
      <c r="B2177" s="1">
        <v>1231.0</v>
      </c>
      <c r="C2177" s="1">
        <v>2.0</v>
      </c>
      <c r="D2177" s="1">
        <v>0.0</v>
      </c>
      <c r="E2177" s="1">
        <v>0.0</v>
      </c>
      <c r="F2177" s="1">
        <v>0.0</v>
      </c>
      <c r="G2177" s="1">
        <v>1.0</v>
      </c>
    </row>
    <row r="2178">
      <c r="A2178" s="1" t="s">
        <v>2190</v>
      </c>
      <c r="B2178" s="1">
        <v>1166.0</v>
      </c>
      <c r="C2178" s="1">
        <v>17.0</v>
      </c>
      <c r="D2178" s="1">
        <v>1.0</v>
      </c>
      <c r="E2178" s="1">
        <v>2.0</v>
      </c>
      <c r="F2178" s="1">
        <v>0.0</v>
      </c>
      <c r="G2178" s="1">
        <v>10.0</v>
      </c>
    </row>
    <row r="2179">
      <c r="A2179" s="1" t="s">
        <v>2191</v>
      </c>
      <c r="B2179" s="1">
        <v>86.0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</row>
    <row r="2180">
      <c r="A2180" s="1" t="s">
        <v>2192</v>
      </c>
      <c r="B2180" s="1">
        <v>104.0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</row>
    <row r="2181">
      <c r="A2181" s="1" t="s">
        <v>2193</v>
      </c>
      <c r="B2181" s="1">
        <v>1197.0</v>
      </c>
      <c r="C2181" s="1">
        <v>1.0</v>
      </c>
      <c r="D2181" s="1">
        <v>1.0</v>
      </c>
      <c r="E2181" s="1">
        <v>1.0</v>
      </c>
      <c r="F2181" s="1">
        <v>1.0</v>
      </c>
      <c r="G2181" s="1">
        <v>1.0</v>
      </c>
    </row>
    <row r="2182">
      <c r="A2182" s="1" t="s">
        <v>2194</v>
      </c>
      <c r="B2182" s="1">
        <v>34.0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</row>
    <row r="2183">
      <c r="A2183" s="1" t="s">
        <v>2195</v>
      </c>
      <c r="B2183" s="1">
        <v>79.0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</row>
    <row r="2184">
      <c r="A2184" s="1" t="s">
        <v>2196</v>
      </c>
      <c r="B2184" s="1">
        <v>101.0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</row>
    <row r="2185">
      <c r="A2185" s="1" t="s">
        <v>2197</v>
      </c>
      <c r="B2185" s="1">
        <v>91.0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</row>
    <row r="2186">
      <c r="A2186" s="1" t="s">
        <v>2198</v>
      </c>
      <c r="B2186" s="1">
        <v>439.0</v>
      </c>
      <c r="C2186" s="1">
        <v>1.0</v>
      </c>
      <c r="D2186" s="1">
        <v>0.0</v>
      </c>
      <c r="E2186" s="1">
        <v>0.0</v>
      </c>
      <c r="F2186" s="1">
        <v>0.0</v>
      </c>
      <c r="G2186" s="1">
        <v>0.0</v>
      </c>
    </row>
    <row r="2187">
      <c r="A2187" s="1" t="s">
        <v>2199</v>
      </c>
      <c r="B2187" s="1">
        <v>4468.0</v>
      </c>
      <c r="C2187" s="1">
        <v>2.0</v>
      </c>
      <c r="D2187" s="1">
        <v>2.0</v>
      </c>
      <c r="E2187" s="1">
        <v>2.0</v>
      </c>
      <c r="F2187" s="1">
        <v>2.0</v>
      </c>
      <c r="G2187" s="1">
        <v>2.0</v>
      </c>
    </row>
    <row r="2188">
      <c r="A2188" s="1" t="s">
        <v>2200</v>
      </c>
      <c r="B2188" s="1">
        <v>574.0</v>
      </c>
      <c r="C2188" s="1">
        <v>1.0</v>
      </c>
      <c r="D2188" s="1">
        <v>0.0</v>
      </c>
      <c r="E2188" s="1">
        <v>0.0</v>
      </c>
      <c r="F2188" s="1">
        <v>0.0</v>
      </c>
      <c r="G2188" s="1">
        <v>0.0</v>
      </c>
    </row>
    <row r="2189">
      <c r="A2189" s="1" t="s">
        <v>2201</v>
      </c>
      <c r="B2189" s="1">
        <v>33.0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</row>
    <row r="2190">
      <c r="A2190" s="1" t="s">
        <v>2202</v>
      </c>
      <c r="B2190" s="1">
        <v>1637.0</v>
      </c>
      <c r="C2190" s="1">
        <v>3.0</v>
      </c>
      <c r="D2190" s="1">
        <v>1.0</v>
      </c>
      <c r="E2190" s="1">
        <v>2.0</v>
      </c>
      <c r="F2190" s="1">
        <v>1.0</v>
      </c>
      <c r="G2190" s="1">
        <v>2.0</v>
      </c>
    </row>
    <row r="2191">
      <c r="A2191" s="1" t="s">
        <v>2203</v>
      </c>
      <c r="B2191" s="1">
        <v>91.0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</row>
    <row r="2192">
      <c r="A2192" s="1" t="s">
        <v>2204</v>
      </c>
      <c r="B2192" s="1">
        <v>720.0</v>
      </c>
      <c r="C2192" s="1">
        <v>7.0</v>
      </c>
      <c r="D2192" s="1">
        <v>0.0</v>
      </c>
      <c r="E2192" s="1">
        <v>1.0</v>
      </c>
      <c r="F2192" s="1">
        <v>0.0</v>
      </c>
      <c r="G2192" s="1">
        <v>5.0</v>
      </c>
    </row>
    <row r="2193">
      <c r="A2193" s="1" t="s">
        <v>2205</v>
      </c>
      <c r="B2193" s="1">
        <v>83.0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</row>
    <row r="2194">
      <c r="A2194" s="1" t="s">
        <v>2206</v>
      </c>
      <c r="B2194" s="1">
        <v>1308.0</v>
      </c>
      <c r="C2194" s="1">
        <v>3.0</v>
      </c>
      <c r="D2194" s="1">
        <v>0.0</v>
      </c>
      <c r="E2194" s="1">
        <v>0.0</v>
      </c>
      <c r="F2194" s="1">
        <v>0.0</v>
      </c>
      <c r="G2194" s="1">
        <v>1.0</v>
      </c>
    </row>
    <row r="2195">
      <c r="A2195" s="1" t="s">
        <v>2207</v>
      </c>
      <c r="B2195" s="1">
        <v>2490.0</v>
      </c>
      <c r="C2195" s="1">
        <v>10.0</v>
      </c>
      <c r="D2195" s="1">
        <v>1.0</v>
      </c>
      <c r="E2195" s="1">
        <v>2.0</v>
      </c>
      <c r="F2195" s="1">
        <v>1.0</v>
      </c>
      <c r="G2195" s="1">
        <v>2.0</v>
      </c>
    </row>
    <row r="2196">
      <c r="A2196" s="1" t="s">
        <v>2208</v>
      </c>
      <c r="B2196" s="1">
        <v>91.0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</row>
    <row r="2197">
      <c r="A2197" s="1" t="s">
        <v>2209</v>
      </c>
      <c r="B2197" s="1">
        <v>85.0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</row>
    <row r="2198">
      <c r="A2198" s="1" t="s">
        <v>2210</v>
      </c>
      <c r="B2198" s="1">
        <v>9587.0</v>
      </c>
      <c r="C2198" s="1">
        <v>30.0</v>
      </c>
      <c r="D2198" s="1">
        <v>6.0</v>
      </c>
      <c r="E2198" s="1">
        <v>7.0</v>
      </c>
      <c r="F2198" s="1">
        <v>6.0</v>
      </c>
      <c r="G2198" s="1">
        <v>9.0</v>
      </c>
    </row>
    <row r="2199">
      <c r="A2199" s="1" t="s">
        <v>2211</v>
      </c>
      <c r="B2199" s="1">
        <v>98.0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</row>
    <row r="2200">
      <c r="A2200" s="1" t="s">
        <v>2212</v>
      </c>
      <c r="B2200" s="1">
        <v>206.0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</row>
    <row r="2201">
      <c r="A2201" s="1" t="s">
        <v>2213</v>
      </c>
      <c r="B2201" s="1">
        <v>77.0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</row>
    <row r="2202">
      <c r="A2202" s="1" t="s">
        <v>2214</v>
      </c>
      <c r="B2202" s="1">
        <v>105.0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</row>
    <row r="2203">
      <c r="A2203" s="1" t="s">
        <v>2215</v>
      </c>
      <c r="B2203" s="1">
        <v>79.0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</row>
    <row r="2204">
      <c r="A2204" s="1" t="s">
        <v>2216</v>
      </c>
      <c r="B2204" s="1">
        <v>57.0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</row>
    <row r="2205">
      <c r="A2205" s="1" t="s">
        <v>2217</v>
      </c>
      <c r="B2205" s="1">
        <v>570.0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</row>
    <row r="2206">
      <c r="A2206" s="1" t="s">
        <v>2218</v>
      </c>
      <c r="B2206" s="1">
        <v>15918.0</v>
      </c>
      <c r="C2206" s="1">
        <v>329.0</v>
      </c>
      <c r="D2206" s="1">
        <v>261.0</v>
      </c>
      <c r="E2206" s="1">
        <v>264.0</v>
      </c>
      <c r="F2206" s="1">
        <v>268.0</v>
      </c>
      <c r="G2206" s="1">
        <v>263.0</v>
      </c>
    </row>
    <row r="2207">
      <c r="A2207" s="1" t="s">
        <v>2219</v>
      </c>
      <c r="B2207" s="1">
        <v>64.0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</row>
    <row r="2208">
      <c r="A2208" s="1" t="s">
        <v>2220</v>
      </c>
      <c r="B2208" s="1">
        <v>68.0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</row>
    <row r="2209">
      <c r="A2209" s="1" t="s">
        <v>2221</v>
      </c>
      <c r="B2209" s="1">
        <v>110.0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</row>
    <row r="2210">
      <c r="A2210" s="1" t="s">
        <v>2222</v>
      </c>
      <c r="B2210" s="1">
        <v>93.0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</row>
    <row r="2211">
      <c r="A2211" s="1" t="s">
        <v>2223</v>
      </c>
      <c r="B2211" s="1">
        <v>95.0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</row>
    <row r="2212">
      <c r="A2212" s="1" t="s">
        <v>2224</v>
      </c>
      <c r="B2212" s="1">
        <v>288.0</v>
      </c>
      <c r="C2212" s="1">
        <v>1.0</v>
      </c>
      <c r="D2212" s="1">
        <v>0.0</v>
      </c>
      <c r="E2212" s="1">
        <v>0.0</v>
      </c>
      <c r="F2212" s="1">
        <v>0.0</v>
      </c>
      <c r="G2212" s="1">
        <v>1.0</v>
      </c>
    </row>
    <row r="2213">
      <c r="A2213" s="1" t="s">
        <v>2225</v>
      </c>
      <c r="B2213" s="1">
        <v>95.0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</row>
    <row r="2214">
      <c r="A2214" s="1" t="s">
        <v>2226</v>
      </c>
      <c r="B2214" s="1">
        <v>109.0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</row>
    <row r="2215">
      <c r="A2215" s="1" t="s">
        <v>2227</v>
      </c>
      <c r="B2215" s="1">
        <v>67.0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</row>
    <row r="2216">
      <c r="A2216" s="1" t="s">
        <v>2228</v>
      </c>
      <c r="B2216" s="1">
        <v>72.0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</row>
    <row r="2217">
      <c r="A2217" s="1" t="s">
        <v>2229</v>
      </c>
      <c r="B2217" s="1">
        <v>127.0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</row>
    <row r="2218">
      <c r="A2218" s="1" t="s">
        <v>2230</v>
      </c>
      <c r="B2218" s="1">
        <v>1649.0</v>
      </c>
      <c r="C2218" s="1">
        <v>5.0</v>
      </c>
      <c r="D2218" s="1">
        <v>1.0</v>
      </c>
      <c r="E2218" s="1">
        <v>1.0</v>
      </c>
      <c r="F2218" s="1">
        <v>1.0</v>
      </c>
      <c r="G2218" s="1">
        <v>1.0</v>
      </c>
    </row>
    <row r="2219">
      <c r="A2219" s="1" t="s">
        <v>2231</v>
      </c>
      <c r="B2219" s="1">
        <v>676.0</v>
      </c>
      <c r="C2219" s="1">
        <v>9.0</v>
      </c>
      <c r="D2219" s="1">
        <v>0.0</v>
      </c>
      <c r="E2219" s="1">
        <v>1.0</v>
      </c>
      <c r="F2219" s="1">
        <v>0.0</v>
      </c>
      <c r="G2219" s="1">
        <v>11.0</v>
      </c>
    </row>
    <row r="2220">
      <c r="A2220" s="1" t="s">
        <v>2232</v>
      </c>
      <c r="B2220" s="1">
        <v>111.0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</row>
    <row r="2221">
      <c r="A2221" s="1" t="s">
        <v>2233</v>
      </c>
      <c r="B2221" s="1">
        <v>812.0</v>
      </c>
      <c r="C2221" s="1">
        <v>5.0</v>
      </c>
      <c r="D2221" s="1">
        <v>0.0</v>
      </c>
      <c r="E2221" s="1">
        <v>2.0</v>
      </c>
      <c r="F2221" s="1">
        <v>0.0</v>
      </c>
      <c r="G2221" s="1">
        <v>2.0</v>
      </c>
    </row>
    <row r="2222">
      <c r="A2222" s="1" t="s">
        <v>2234</v>
      </c>
      <c r="B2222" s="1">
        <v>1859.0</v>
      </c>
      <c r="C2222" s="1">
        <v>14.0</v>
      </c>
      <c r="D2222" s="1">
        <v>2.0</v>
      </c>
      <c r="E2222" s="1">
        <v>3.0</v>
      </c>
      <c r="F2222" s="1">
        <v>1.0</v>
      </c>
      <c r="G2222" s="1">
        <v>3.0</v>
      </c>
    </row>
    <row r="2223">
      <c r="A2223" s="1" t="s">
        <v>2235</v>
      </c>
      <c r="B2223" s="1">
        <v>67.0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</row>
    <row r="2224">
      <c r="A2224" s="1" t="s">
        <v>2236</v>
      </c>
      <c r="B2224" s="1">
        <v>72.0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</row>
    <row r="2225">
      <c r="A2225" s="1" t="s">
        <v>2237</v>
      </c>
      <c r="B2225" s="1">
        <v>71.0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</row>
    <row r="2226">
      <c r="A2226" s="1" t="s">
        <v>2238</v>
      </c>
      <c r="B2226" s="1">
        <v>106.0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</row>
    <row r="2227">
      <c r="A2227" s="1" t="s">
        <v>2239</v>
      </c>
      <c r="B2227" s="1">
        <v>114.0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</row>
    <row r="2228">
      <c r="A2228" s="1" t="s">
        <v>2240</v>
      </c>
      <c r="B2228" s="1">
        <v>40.0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</row>
    <row r="2229">
      <c r="A2229" s="1" t="s">
        <v>2241</v>
      </c>
      <c r="B2229" s="1">
        <v>18.0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</row>
    <row r="2230">
      <c r="A2230" s="1" t="s">
        <v>2242</v>
      </c>
      <c r="B2230" s="1">
        <v>76.0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</row>
    <row r="2231">
      <c r="A2231" s="1" t="s">
        <v>2243</v>
      </c>
      <c r="B2231" s="1">
        <v>669.0</v>
      </c>
      <c r="C2231" s="1">
        <v>6.0</v>
      </c>
      <c r="D2231" s="1">
        <v>2.0</v>
      </c>
      <c r="E2231" s="1">
        <v>1.0</v>
      </c>
      <c r="F2231" s="1">
        <v>0.0</v>
      </c>
      <c r="G2231" s="1">
        <v>10.0</v>
      </c>
    </row>
    <row r="2232">
      <c r="A2232" s="1" t="s">
        <v>2244</v>
      </c>
      <c r="B2232" s="1">
        <v>48.0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</row>
    <row r="2233">
      <c r="A2233" s="1" t="s">
        <v>2245</v>
      </c>
      <c r="B2233" s="1">
        <v>111.0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</row>
    <row r="2234">
      <c r="A2234" s="1" t="s">
        <v>2246</v>
      </c>
      <c r="B2234" s="1">
        <v>24136.0</v>
      </c>
      <c r="C2234" s="1">
        <v>5619.0</v>
      </c>
      <c r="D2234" s="1">
        <v>1346.0</v>
      </c>
      <c r="E2234" s="1">
        <v>1710.0</v>
      </c>
      <c r="F2234" s="1">
        <v>16.0</v>
      </c>
      <c r="G2234" s="1">
        <v>219.0</v>
      </c>
    </row>
    <row r="2235">
      <c r="A2235" s="1" t="s">
        <v>2247</v>
      </c>
      <c r="B2235" s="1">
        <v>67.0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</row>
    <row r="2236">
      <c r="A2236" s="1" t="s">
        <v>2248</v>
      </c>
      <c r="B2236" s="1">
        <v>626.0</v>
      </c>
      <c r="C2236" s="1">
        <v>9.0</v>
      </c>
      <c r="D2236" s="1">
        <v>0.0</v>
      </c>
      <c r="E2236" s="1">
        <v>1.0</v>
      </c>
      <c r="F2236" s="1">
        <v>0.0</v>
      </c>
      <c r="G2236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</cols>
  <sheetData>
    <row r="1">
      <c r="A1" s="1" t="s">
        <v>6</v>
      </c>
      <c r="B1" s="3" t="s">
        <v>7</v>
      </c>
      <c r="C1" s="3" t="s">
        <v>2249</v>
      </c>
      <c r="D1" s="3" t="s">
        <v>8</v>
      </c>
      <c r="E1" s="3" t="s">
        <v>9</v>
      </c>
      <c r="F1" s="3" t="s">
        <v>2250</v>
      </c>
      <c r="G1" s="3" t="s">
        <v>2251</v>
      </c>
      <c r="H1" s="3" t="s">
        <v>11</v>
      </c>
      <c r="I1" s="1" t="s">
        <v>2252</v>
      </c>
      <c r="J1" s="2" t="b">
        <f t="shared" ref="J1:J2894" si="1">AND(OR(D1&gt;=10,E1&gt;=10,F1&gt;=10,G1&gt;=10,H1&gt;=10),I1&lt;&gt;"handwritten")</f>
        <v>1</v>
      </c>
      <c r="K1" s="1" t="s">
        <v>2253</v>
      </c>
    </row>
    <row r="2">
      <c r="A2" s="1" t="s">
        <v>13</v>
      </c>
      <c r="B2" s="3">
        <v>7.0</v>
      </c>
      <c r="C2" s="3">
        <v>60.0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2" t="str">
        <f>IFERROR(__xludf.DUMMYFUNCTION("INDEX(SPLIT(A2, ""/""), 0, 2)"),"generated")</f>
        <v>generated</v>
      </c>
      <c r="J2" s="2" t="b">
        <f t="shared" si="1"/>
        <v>0</v>
      </c>
    </row>
    <row r="3">
      <c r="A3" s="1" t="s">
        <v>2254</v>
      </c>
      <c r="B3" s="3">
        <v>5150.0</v>
      </c>
      <c r="C3" s="3">
        <v>60.0</v>
      </c>
      <c r="D3" s="3">
        <v>20.0</v>
      </c>
      <c r="E3" s="3">
        <v>29.0</v>
      </c>
      <c r="F3" s="3">
        <v>4.0</v>
      </c>
      <c r="G3" s="3">
        <v>3.0</v>
      </c>
      <c r="H3" s="3">
        <v>1.0</v>
      </c>
      <c r="I3" s="2" t="str">
        <f>IFERROR(__xludf.DUMMYFUNCTION("INDEX(SPLIT(A3, ""/""), 0, 2)"),"generated")</f>
        <v>generated</v>
      </c>
      <c r="J3" s="2" t="b">
        <f t="shared" si="1"/>
        <v>1</v>
      </c>
    </row>
    <row r="4">
      <c r="A4" s="1" t="s">
        <v>14</v>
      </c>
      <c r="B4" s="3">
        <v>201.0</v>
      </c>
      <c r="C4" s="3">
        <v>60.0</v>
      </c>
      <c r="D4" s="3">
        <v>1.0</v>
      </c>
      <c r="E4" s="3">
        <v>0.0</v>
      </c>
      <c r="F4" s="3">
        <v>0.0</v>
      </c>
      <c r="G4" s="3">
        <v>1.0</v>
      </c>
      <c r="H4" s="3">
        <v>0.0</v>
      </c>
      <c r="I4" s="2" t="str">
        <f>IFERROR(__xludf.DUMMYFUNCTION("INDEX(SPLIT(A4, ""/""), 0, 2)"),"generated")</f>
        <v>generated</v>
      </c>
      <c r="J4" s="2" t="b">
        <f t="shared" si="1"/>
        <v>0</v>
      </c>
    </row>
    <row r="5">
      <c r="A5" s="1" t="s">
        <v>15</v>
      </c>
      <c r="B5" s="3">
        <v>2000.0</v>
      </c>
      <c r="C5" s="3">
        <v>60.0</v>
      </c>
      <c r="D5" s="3">
        <v>133.0</v>
      </c>
      <c r="E5" s="3">
        <v>1.0</v>
      </c>
      <c r="F5" s="3">
        <v>4.0</v>
      </c>
      <c r="G5" s="3">
        <v>19.0</v>
      </c>
      <c r="H5" s="3">
        <v>1.0</v>
      </c>
      <c r="I5" s="2" t="str">
        <f>IFERROR(__xludf.DUMMYFUNCTION("INDEX(SPLIT(A5, ""/""), 0, 2)"),"generated")</f>
        <v>generated</v>
      </c>
      <c r="J5" s="2" t="b">
        <f t="shared" si="1"/>
        <v>1</v>
      </c>
    </row>
    <row r="6">
      <c r="A6" s="1" t="s">
        <v>2255</v>
      </c>
      <c r="B6" s="3">
        <v>9.0</v>
      </c>
      <c r="C6" s="3">
        <v>60.0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2" t="str">
        <f>IFERROR(__xludf.DUMMYFUNCTION("INDEX(SPLIT(A6, ""/""), 0, 2)"),"generated")</f>
        <v>generated</v>
      </c>
      <c r="J6" s="2" t="b">
        <f t="shared" si="1"/>
        <v>0</v>
      </c>
    </row>
    <row r="7">
      <c r="A7" s="1" t="s">
        <v>2256</v>
      </c>
      <c r="B7" s="3">
        <v>3310.0</v>
      </c>
      <c r="C7" s="3">
        <v>60.0</v>
      </c>
      <c r="D7" s="3">
        <v>70.0</v>
      </c>
      <c r="E7" s="3">
        <v>23.0</v>
      </c>
      <c r="F7" s="3">
        <v>24.0</v>
      </c>
      <c r="G7" s="3">
        <v>1.0</v>
      </c>
      <c r="H7" s="3">
        <v>1.0</v>
      </c>
      <c r="I7" s="2" t="str">
        <f>IFERROR(__xludf.DUMMYFUNCTION("INDEX(SPLIT(A7, ""/""), 0, 2)"),"generated")</f>
        <v>generated</v>
      </c>
      <c r="J7" s="2" t="b">
        <f t="shared" si="1"/>
        <v>1</v>
      </c>
    </row>
    <row r="8">
      <c r="A8" s="1" t="s">
        <v>2257</v>
      </c>
      <c r="B8" s="3">
        <v>6.0</v>
      </c>
      <c r="C8" s="3">
        <v>60.0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2" t="str">
        <f>IFERROR(__xludf.DUMMYFUNCTION("INDEX(SPLIT(A8, ""/""), 0, 2)"),"generated")</f>
        <v>generated</v>
      </c>
      <c r="J8" s="2" t="b">
        <f t="shared" si="1"/>
        <v>0</v>
      </c>
    </row>
    <row r="9">
      <c r="A9" s="1" t="s">
        <v>16</v>
      </c>
      <c r="B9" s="3">
        <v>601.0</v>
      </c>
      <c r="C9" s="3">
        <v>60.0</v>
      </c>
      <c r="D9" s="3">
        <v>11.0</v>
      </c>
      <c r="E9" s="3">
        <v>0.0</v>
      </c>
      <c r="F9" s="3">
        <v>1.0</v>
      </c>
      <c r="G9" s="3">
        <v>4.0</v>
      </c>
      <c r="H9" s="3">
        <v>0.0</v>
      </c>
      <c r="I9" s="2" t="str">
        <f>IFERROR(__xludf.DUMMYFUNCTION("INDEX(SPLIT(A9, ""/""), 0, 2)"),"generated")</f>
        <v>generated</v>
      </c>
      <c r="J9" s="2" t="b">
        <f t="shared" si="1"/>
        <v>1</v>
      </c>
    </row>
    <row r="10">
      <c r="A10" s="1" t="s">
        <v>2258</v>
      </c>
      <c r="B10" s="3">
        <v>65.0</v>
      </c>
      <c r="C10" s="3">
        <v>60.0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2" t="str">
        <f>IFERROR(__xludf.DUMMYFUNCTION("INDEX(SPLIT(A10, ""/""), 0, 2)"),"generated")</f>
        <v>generated</v>
      </c>
      <c r="J10" s="2" t="b">
        <f t="shared" si="1"/>
        <v>0</v>
      </c>
    </row>
    <row r="11">
      <c r="A11" s="1" t="s">
        <v>17</v>
      </c>
      <c r="B11" s="3">
        <v>6.0</v>
      </c>
      <c r="C11" s="3">
        <v>60.0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2" t="str">
        <f>IFERROR(__xludf.DUMMYFUNCTION("INDEX(SPLIT(A11, ""/""), 0, 2)"),"generated")</f>
        <v>generated</v>
      </c>
      <c r="J11" s="2" t="b">
        <f t="shared" si="1"/>
        <v>0</v>
      </c>
    </row>
    <row r="12">
      <c r="A12" s="1" t="s">
        <v>2259</v>
      </c>
      <c r="B12" s="3">
        <v>100.0</v>
      </c>
      <c r="C12" s="3">
        <v>60.0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2" t="str">
        <f>IFERROR(__xludf.DUMMYFUNCTION("INDEX(SPLIT(A12, ""/""), 0, 2)"),"generated")</f>
        <v>generated</v>
      </c>
      <c r="J12" s="2" t="b">
        <f t="shared" si="1"/>
        <v>0</v>
      </c>
    </row>
    <row r="13">
      <c r="A13" s="1" t="s">
        <v>18</v>
      </c>
      <c r="B13" s="3">
        <v>61.0</v>
      </c>
      <c r="C13" s="3">
        <v>60.0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2" t="str">
        <f>IFERROR(__xludf.DUMMYFUNCTION("INDEX(SPLIT(A13, ""/""), 0, 2)"),"generated")</f>
        <v>generated</v>
      </c>
      <c r="J13" s="2" t="b">
        <f t="shared" si="1"/>
        <v>0</v>
      </c>
    </row>
    <row r="14">
      <c r="A14" s="1" t="s">
        <v>2260</v>
      </c>
      <c r="B14" s="3">
        <v>3610.0</v>
      </c>
      <c r="C14" s="3">
        <v>60.0</v>
      </c>
      <c r="D14" s="3">
        <v>66.0</v>
      </c>
      <c r="E14" s="3">
        <v>2.0</v>
      </c>
      <c r="F14" s="3">
        <v>3.0</v>
      </c>
      <c r="G14" s="3">
        <v>6.0</v>
      </c>
      <c r="H14" s="3">
        <v>1.0</v>
      </c>
      <c r="I14" s="2" t="str">
        <f>IFERROR(__xludf.DUMMYFUNCTION("INDEX(SPLIT(A14, ""/""), 0, 2)"),"generated")</f>
        <v>generated</v>
      </c>
      <c r="J14" s="2" t="b">
        <f t="shared" si="1"/>
        <v>1</v>
      </c>
    </row>
    <row r="15">
      <c r="A15" s="1" t="s">
        <v>19</v>
      </c>
      <c r="B15" s="3">
        <v>21.0</v>
      </c>
      <c r="C15" s="3">
        <v>60.0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2" t="str">
        <f>IFERROR(__xludf.DUMMYFUNCTION("INDEX(SPLIT(A15, ""/""), 0, 2)"),"generated")</f>
        <v>generated</v>
      </c>
      <c r="J15" s="2" t="b">
        <f t="shared" si="1"/>
        <v>0</v>
      </c>
    </row>
    <row r="16">
      <c r="A16" s="1" t="s">
        <v>20</v>
      </c>
      <c r="B16" s="3">
        <v>2001.0</v>
      </c>
      <c r="C16" s="3">
        <v>60.0</v>
      </c>
      <c r="D16" s="3">
        <v>131.0</v>
      </c>
      <c r="E16" s="3">
        <v>94.0</v>
      </c>
      <c r="F16" s="3">
        <v>1.0</v>
      </c>
      <c r="G16" s="3">
        <v>20.0</v>
      </c>
      <c r="H16" s="3">
        <v>5.0</v>
      </c>
      <c r="I16" s="2" t="str">
        <f>IFERROR(__xludf.DUMMYFUNCTION("INDEX(SPLIT(A16, ""/""), 0, 2)"),"generated")</f>
        <v>generated</v>
      </c>
      <c r="J16" s="2" t="b">
        <f t="shared" si="1"/>
        <v>1</v>
      </c>
    </row>
    <row r="17">
      <c r="A17" s="1" t="s">
        <v>21</v>
      </c>
      <c r="B17" s="3">
        <v>600.0</v>
      </c>
      <c r="C17" s="3">
        <v>60.0</v>
      </c>
      <c r="D17" s="3">
        <v>11.0</v>
      </c>
      <c r="E17" s="3">
        <v>0.0</v>
      </c>
      <c r="F17" s="3">
        <v>1.0</v>
      </c>
      <c r="G17" s="3">
        <v>4.0</v>
      </c>
      <c r="H17" s="3">
        <v>0.0</v>
      </c>
      <c r="I17" s="2" t="str">
        <f>IFERROR(__xludf.DUMMYFUNCTION("INDEX(SPLIT(A17, ""/""), 0, 2)"),"generated")</f>
        <v>generated</v>
      </c>
      <c r="J17" s="2" t="b">
        <f t="shared" si="1"/>
        <v>1</v>
      </c>
    </row>
    <row r="18">
      <c r="A18" s="1" t="s">
        <v>22</v>
      </c>
      <c r="B18" s="3">
        <v>200.0</v>
      </c>
      <c r="C18" s="3">
        <v>60.0</v>
      </c>
      <c r="D18" s="3">
        <v>1.0</v>
      </c>
      <c r="E18" s="3">
        <v>0.0</v>
      </c>
      <c r="F18" s="3">
        <v>0.0</v>
      </c>
      <c r="G18" s="3">
        <v>1.0</v>
      </c>
      <c r="H18" s="3">
        <v>0.0</v>
      </c>
      <c r="I18" s="2" t="str">
        <f>IFERROR(__xludf.DUMMYFUNCTION("INDEX(SPLIT(A18, ""/""), 0, 2)"),"generated")</f>
        <v>generated</v>
      </c>
      <c r="J18" s="2" t="b">
        <f t="shared" si="1"/>
        <v>0</v>
      </c>
    </row>
    <row r="19">
      <c r="A19" s="1" t="s">
        <v>23</v>
      </c>
      <c r="B19" s="3">
        <v>6000.0</v>
      </c>
      <c r="C19" s="3">
        <v>60.0</v>
      </c>
      <c r="D19" s="3">
        <v>1202.0</v>
      </c>
      <c r="E19" s="3">
        <v>867.0</v>
      </c>
      <c r="F19" s="3">
        <v>3.0</v>
      </c>
      <c r="G19" s="3">
        <v>74.0</v>
      </c>
      <c r="H19" s="3">
        <v>17.0</v>
      </c>
      <c r="I19" s="2" t="str">
        <f>IFERROR(__xludf.DUMMYFUNCTION("INDEX(SPLIT(A19, ""/""), 0, 2)"),"generated")</f>
        <v>generated</v>
      </c>
      <c r="J19" s="2" t="b">
        <f t="shared" si="1"/>
        <v>1</v>
      </c>
    </row>
    <row r="20">
      <c r="A20" s="1" t="s">
        <v>2261</v>
      </c>
      <c r="B20" s="3">
        <v>11010.0</v>
      </c>
      <c r="C20" s="3">
        <v>60.0</v>
      </c>
      <c r="D20" s="3">
        <v>671.0</v>
      </c>
      <c r="E20" s="3">
        <v>9.0</v>
      </c>
      <c r="F20" s="3">
        <v>11.0</v>
      </c>
      <c r="G20" s="3">
        <v>57.0</v>
      </c>
      <c r="H20" s="3">
        <v>4.0</v>
      </c>
      <c r="I20" s="2" t="str">
        <f>IFERROR(__xludf.DUMMYFUNCTION("INDEX(SPLIT(A20, ""/""), 0, 2)"),"generated")</f>
        <v>generated</v>
      </c>
      <c r="J20" s="2" t="b">
        <f t="shared" si="1"/>
        <v>1</v>
      </c>
    </row>
    <row r="21">
      <c r="A21" s="1" t="s">
        <v>2262</v>
      </c>
      <c r="B21" s="3">
        <v>1000000.0</v>
      </c>
      <c r="C21" s="3">
        <v>60.0</v>
      </c>
      <c r="D21" s="3" t="s">
        <v>28</v>
      </c>
      <c r="E21" s="3">
        <v>15261.0</v>
      </c>
      <c r="F21" s="3" t="s">
        <v>28</v>
      </c>
      <c r="G21" s="3">
        <v>975.0</v>
      </c>
      <c r="H21" s="3">
        <v>472.0</v>
      </c>
      <c r="I21" s="2" t="str">
        <f>IFERROR(__xludf.DUMMYFUNCTION("INDEX(SPLIT(A21, ""/""), 0, 2)"),"generated")</f>
        <v>generated</v>
      </c>
      <c r="J21" s="2" t="b">
        <f t="shared" si="1"/>
        <v>1</v>
      </c>
    </row>
    <row r="22">
      <c r="A22" s="1" t="s">
        <v>24</v>
      </c>
      <c r="B22" s="3">
        <v>20.0</v>
      </c>
      <c r="C22" s="3">
        <v>60.0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2" t="str">
        <f>IFERROR(__xludf.DUMMYFUNCTION("INDEX(SPLIT(A22, ""/""), 0, 2)"),"generated")</f>
        <v>generated</v>
      </c>
      <c r="J22" s="2" t="b">
        <f t="shared" si="1"/>
        <v>0</v>
      </c>
    </row>
    <row r="23">
      <c r="A23" s="1" t="s">
        <v>2263</v>
      </c>
      <c r="B23" s="3">
        <v>120.0</v>
      </c>
      <c r="C23" s="3">
        <v>60.0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2" t="str">
        <f>IFERROR(__xludf.DUMMYFUNCTION("INDEX(SPLIT(A23, ""/""), 0, 2)"),"generated")</f>
        <v>generated</v>
      </c>
      <c r="J23" s="2" t="b">
        <f t="shared" si="1"/>
        <v>0</v>
      </c>
    </row>
    <row r="24">
      <c r="A24" s="1" t="s">
        <v>2264</v>
      </c>
      <c r="B24" s="3">
        <v>5050.0</v>
      </c>
      <c r="C24" s="3">
        <v>60.0</v>
      </c>
      <c r="D24" s="3">
        <v>1.0</v>
      </c>
      <c r="E24" s="3">
        <v>11.0</v>
      </c>
      <c r="F24" s="3">
        <v>3.0</v>
      </c>
      <c r="G24" s="3">
        <v>1.0</v>
      </c>
      <c r="H24" s="3">
        <v>1.0</v>
      </c>
      <c r="I24" s="2" t="str">
        <f>IFERROR(__xludf.DUMMYFUNCTION("INDEX(SPLIT(A24, ""/""), 0, 2)"),"generated")</f>
        <v>generated</v>
      </c>
      <c r="J24" s="2" t="b">
        <f t="shared" si="1"/>
        <v>1</v>
      </c>
    </row>
    <row r="25">
      <c r="A25" s="1" t="s">
        <v>25</v>
      </c>
      <c r="B25" s="3">
        <v>6000.0</v>
      </c>
      <c r="C25" s="3">
        <v>60.0</v>
      </c>
      <c r="D25" s="3">
        <v>1199.0</v>
      </c>
      <c r="E25" s="3">
        <v>3.0</v>
      </c>
      <c r="F25" s="3">
        <v>16.0</v>
      </c>
      <c r="G25" s="3">
        <v>73.0</v>
      </c>
      <c r="H25" s="3">
        <v>2.0</v>
      </c>
      <c r="I25" s="2" t="str">
        <f>IFERROR(__xludf.DUMMYFUNCTION("INDEX(SPLIT(A25, ""/""), 0, 2)"),"generated")</f>
        <v>generated</v>
      </c>
      <c r="J25" s="2" t="b">
        <f t="shared" si="1"/>
        <v>1</v>
      </c>
    </row>
    <row r="26">
      <c r="A26" s="1" t="s">
        <v>2265</v>
      </c>
      <c r="B26" s="3">
        <v>130.0</v>
      </c>
      <c r="C26" s="3">
        <v>60.0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2" t="str">
        <f>IFERROR(__xludf.DUMMYFUNCTION("INDEX(SPLIT(A26, ""/""), 0, 2)"),"generated")</f>
        <v>generated</v>
      </c>
      <c r="J26" s="2" t="b">
        <f t="shared" si="1"/>
        <v>0</v>
      </c>
    </row>
    <row r="27">
      <c r="A27" s="1" t="s">
        <v>26</v>
      </c>
      <c r="B27" s="3">
        <v>601.0</v>
      </c>
      <c r="C27" s="3">
        <v>60.0</v>
      </c>
      <c r="D27" s="3">
        <v>11.0</v>
      </c>
      <c r="E27" s="3">
        <v>8.0</v>
      </c>
      <c r="F27" s="3">
        <v>0.0</v>
      </c>
      <c r="G27" s="3">
        <v>4.0</v>
      </c>
      <c r="H27" s="3">
        <v>1.0</v>
      </c>
      <c r="I27" s="2" t="str">
        <f>IFERROR(__xludf.DUMMYFUNCTION("INDEX(SPLIT(A27, ""/""), 0, 2)"),"generated")</f>
        <v>generated</v>
      </c>
      <c r="J27" s="2" t="b">
        <f t="shared" si="1"/>
        <v>1</v>
      </c>
    </row>
    <row r="28">
      <c r="A28" s="1" t="s">
        <v>2266</v>
      </c>
      <c r="B28" s="3">
        <v>45450.0</v>
      </c>
      <c r="C28" s="3">
        <v>60.0</v>
      </c>
      <c r="D28" s="3">
        <v>14358.0</v>
      </c>
      <c r="E28" s="3">
        <v>12.0</v>
      </c>
      <c r="F28" s="3">
        <v>20839.0</v>
      </c>
      <c r="G28" s="3">
        <v>15.0</v>
      </c>
      <c r="H28" s="3">
        <v>9.0</v>
      </c>
      <c r="I28" s="2" t="str">
        <f>IFERROR(__xludf.DUMMYFUNCTION("INDEX(SPLIT(A28, ""/""), 0, 2)"),"generated")</f>
        <v>generated</v>
      </c>
      <c r="J28" s="2" t="b">
        <f t="shared" si="1"/>
        <v>1</v>
      </c>
    </row>
    <row r="29">
      <c r="A29" s="1" t="s">
        <v>27</v>
      </c>
      <c r="B29" s="3">
        <v>20000.0</v>
      </c>
      <c r="C29" s="3">
        <v>60.0</v>
      </c>
      <c r="D29" s="3">
        <v>13945.0</v>
      </c>
      <c r="E29" s="3">
        <v>10000.0</v>
      </c>
      <c r="F29" s="3">
        <v>11.0</v>
      </c>
      <c r="G29" s="3">
        <v>311.0</v>
      </c>
      <c r="H29" s="3">
        <v>66.0</v>
      </c>
      <c r="I29" s="2" t="str">
        <f>IFERROR(__xludf.DUMMYFUNCTION("INDEX(SPLIT(A29, ""/""), 0, 2)"),"generated")</f>
        <v>generated</v>
      </c>
      <c r="J29" s="2" t="b">
        <f t="shared" si="1"/>
        <v>1</v>
      </c>
    </row>
    <row r="30">
      <c r="A30" s="1" t="s">
        <v>29</v>
      </c>
      <c r="B30" s="3">
        <v>600.0</v>
      </c>
      <c r="C30" s="3">
        <v>60.0</v>
      </c>
      <c r="D30" s="3">
        <v>11.0</v>
      </c>
      <c r="E30" s="3">
        <v>8.0</v>
      </c>
      <c r="F30" s="3">
        <v>0.0</v>
      </c>
      <c r="G30" s="3">
        <v>4.0</v>
      </c>
      <c r="H30" s="3">
        <v>1.0</v>
      </c>
      <c r="I30" s="2" t="str">
        <f>IFERROR(__xludf.DUMMYFUNCTION("INDEX(SPLIT(A30, ""/""), 0, 2)"),"generated")</f>
        <v>generated</v>
      </c>
      <c r="J30" s="2" t="b">
        <f t="shared" si="1"/>
        <v>1</v>
      </c>
    </row>
    <row r="31">
      <c r="A31" s="1" t="s">
        <v>30</v>
      </c>
      <c r="B31" s="3">
        <v>7.0</v>
      </c>
      <c r="C31" s="3">
        <v>60.0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2" t="str">
        <f>IFERROR(__xludf.DUMMYFUNCTION("INDEX(SPLIT(A31, ""/""), 0, 2)"),"generated")</f>
        <v>generated</v>
      </c>
      <c r="J31" s="2" t="b">
        <f t="shared" si="1"/>
        <v>0</v>
      </c>
    </row>
    <row r="32">
      <c r="A32" s="1" t="s">
        <v>2267</v>
      </c>
      <c r="B32" s="3">
        <v>60001.0</v>
      </c>
      <c r="C32" s="3">
        <v>60.0</v>
      </c>
      <c r="D32" s="3" t="s">
        <v>28</v>
      </c>
      <c r="E32" s="3">
        <v>58.0</v>
      </c>
      <c r="F32" s="3">
        <v>485.0</v>
      </c>
      <c r="G32" s="3">
        <v>1094.0</v>
      </c>
      <c r="H32" s="3">
        <v>27.0</v>
      </c>
      <c r="I32" s="2" t="str">
        <f>IFERROR(__xludf.DUMMYFUNCTION("INDEX(SPLIT(A32, ""/""), 0, 2)"),"generated")</f>
        <v>generated</v>
      </c>
      <c r="J32" s="2" t="b">
        <f t="shared" si="1"/>
        <v>1</v>
      </c>
    </row>
    <row r="33">
      <c r="A33" s="1" t="s">
        <v>2268</v>
      </c>
      <c r="B33" s="3">
        <v>46.0</v>
      </c>
      <c r="C33" s="3">
        <v>60.0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2" t="str">
        <f>IFERROR(__xludf.DUMMYFUNCTION("INDEX(SPLIT(A33, ""/""), 0, 2)"),"generated")</f>
        <v>generated</v>
      </c>
      <c r="J33" s="2" t="b">
        <f t="shared" si="1"/>
        <v>0</v>
      </c>
    </row>
    <row r="34">
      <c r="A34" s="1" t="s">
        <v>2269</v>
      </c>
      <c r="B34" s="3">
        <v>11020.0</v>
      </c>
      <c r="C34" s="3">
        <v>60.0</v>
      </c>
      <c r="D34" s="3">
        <v>757.0</v>
      </c>
      <c r="E34" s="3">
        <v>257.0</v>
      </c>
      <c r="F34" s="3">
        <v>262.0</v>
      </c>
      <c r="G34" s="3">
        <v>4.0</v>
      </c>
      <c r="H34" s="3">
        <v>3.0</v>
      </c>
      <c r="I34" s="2" t="str">
        <f>IFERROR(__xludf.DUMMYFUNCTION("INDEX(SPLIT(A34, ""/""), 0, 2)"),"generated")</f>
        <v>generated</v>
      </c>
      <c r="J34" s="2" t="b">
        <f t="shared" si="1"/>
        <v>1</v>
      </c>
    </row>
    <row r="35">
      <c r="A35" s="1" t="s">
        <v>2270</v>
      </c>
      <c r="B35" s="3">
        <v>18.0</v>
      </c>
      <c r="C35" s="3">
        <v>60.0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2" t="str">
        <f>IFERROR(__xludf.DUMMYFUNCTION("INDEX(SPLIT(A35, ""/""), 0, 2)"),"generated")</f>
        <v>generated</v>
      </c>
      <c r="J35" s="2" t="b">
        <f t="shared" si="1"/>
        <v>0</v>
      </c>
    </row>
    <row r="36">
      <c r="A36" s="1" t="s">
        <v>2271</v>
      </c>
      <c r="B36" s="3">
        <v>1110.0</v>
      </c>
      <c r="C36" s="3">
        <v>60.0</v>
      </c>
      <c r="D36" s="3">
        <v>7.0</v>
      </c>
      <c r="E36" s="3">
        <v>0.0</v>
      </c>
      <c r="F36" s="3">
        <v>1.0</v>
      </c>
      <c r="G36" s="3">
        <v>3.0</v>
      </c>
      <c r="H36" s="3">
        <v>0.0</v>
      </c>
      <c r="I36" s="2" t="str">
        <f>IFERROR(__xludf.DUMMYFUNCTION("INDEX(SPLIT(A36, ""/""), 0, 2)"),"generated")</f>
        <v>generated</v>
      </c>
      <c r="J36" s="2" t="b">
        <f t="shared" si="1"/>
        <v>0</v>
      </c>
    </row>
    <row r="37">
      <c r="A37" s="1" t="s">
        <v>2272</v>
      </c>
      <c r="B37" s="3">
        <v>60000.0</v>
      </c>
      <c r="C37" s="3">
        <v>60.0</v>
      </c>
      <c r="D37" s="3" t="s">
        <v>28</v>
      </c>
      <c r="E37" s="3">
        <v>57.0</v>
      </c>
      <c r="F37" s="3">
        <v>484.0</v>
      </c>
      <c r="G37" s="3">
        <v>1109.0</v>
      </c>
      <c r="H37" s="3">
        <v>51.0</v>
      </c>
      <c r="I37" s="2" t="str">
        <f>IFERROR(__xludf.DUMMYFUNCTION("INDEX(SPLIT(A37, ""/""), 0, 2)"),"generated")</f>
        <v>generated</v>
      </c>
      <c r="J37" s="2" t="b">
        <f t="shared" si="1"/>
        <v>1</v>
      </c>
    </row>
    <row r="38">
      <c r="A38" s="1" t="s">
        <v>31</v>
      </c>
      <c r="B38" s="3">
        <v>200.0</v>
      </c>
      <c r="C38" s="3">
        <v>60.0</v>
      </c>
      <c r="D38" s="3">
        <v>1.0</v>
      </c>
      <c r="E38" s="3">
        <v>1.0</v>
      </c>
      <c r="F38" s="3">
        <v>0.0</v>
      </c>
      <c r="G38" s="3">
        <v>1.0</v>
      </c>
      <c r="H38" s="3">
        <v>0.0</v>
      </c>
      <c r="I38" s="2" t="str">
        <f>IFERROR(__xludf.DUMMYFUNCTION("INDEX(SPLIT(A38, ""/""), 0, 2)"),"generated")</f>
        <v>generated</v>
      </c>
      <c r="J38" s="2" t="b">
        <f t="shared" si="1"/>
        <v>0</v>
      </c>
    </row>
    <row r="39">
      <c r="A39" s="1" t="s">
        <v>32</v>
      </c>
      <c r="B39" s="3">
        <v>20001.0</v>
      </c>
      <c r="C39" s="3">
        <v>60.0</v>
      </c>
      <c r="D39" s="3">
        <v>13875.0</v>
      </c>
      <c r="E39" s="3">
        <v>9974.0</v>
      </c>
      <c r="F39" s="3">
        <v>15.0</v>
      </c>
      <c r="G39" s="3">
        <v>313.0</v>
      </c>
      <c r="H39" s="3">
        <v>70.0</v>
      </c>
      <c r="I39" s="2" t="str">
        <f>IFERROR(__xludf.DUMMYFUNCTION("INDEX(SPLIT(A39, ""/""), 0, 2)"),"generated")</f>
        <v>generated</v>
      </c>
      <c r="J39" s="2" t="b">
        <f t="shared" si="1"/>
        <v>1</v>
      </c>
    </row>
    <row r="40">
      <c r="A40" s="1" t="s">
        <v>33</v>
      </c>
      <c r="B40" s="3">
        <v>60.0</v>
      </c>
      <c r="C40" s="3">
        <v>60.0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2" t="str">
        <f>IFERROR(__xludf.DUMMYFUNCTION("INDEX(SPLIT(A40, ""/""), 0, 2)"),"generated")</f>
        <v>generated</v>
      </c>
      <c r="J40" s="2" t="b">
        <f t="shared" si="1"/>
        <v>0</v>
      </c>
    </row>
    <row r="41">
      <c r="A41" s="1" t="s">
        <v>34</v>
      </c>
      <c r="B41" s="3">
        <v>201.0</v>
      </c>
      <c r="C41" s="3">
        <v>60.0</v>
      </c>
      <c r="D41" s="3">
        <v>1.0</v>
      </c>
      <c r="E41" s="3">
        <v>1.0</v>
      </c>
      <c r="F41" s="3">
        <v>0.0</v>
      </c>
      <c r="G41" s="3">
        <v>1.0</v>
      </c>
      <c r="H41" s="3">
        <v>0.0</v>
      </c>
      <c r="I41" s="2" t="str">
        <f>IFERROR(__xludf.DUMMYFUNCTION("INDEX(SPLIT(A41, ""/""), 0, 2)"),"generated")</f>
        <v>generated</v>
      </c>
      <c r="J41" s="2" t="b">
        <f t="shared" si="1"/>
        <v>0</v>
      </c>
    </row>
    <row r="42">
      <c r="A42" s="1" t="s">
        <v>2273</v>
      </c>
      <c r="B42" s="3">
        <v>65.0</v>
      </c>
      <c r="C42" s="3">
        <v>60.0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2" t="str">
        <f>IFERROR(__xludf.DUMMYFUNCTION("INDEX(SPLIT(A42, ""/""), 0, 2)"),"generated")</f>
        <v>generated</v>
      </c>
      <c r="J42" s="2" t="b">
        <f t="shared" si="1"/>
        <v>0</v>
      </c>
    </row>
    <row r="43">
      <c r="A43" s="1" t="s">
        <v>35</v>
      </c>
      <c r="B43" s="3">
        <v>20000.0</v>
      </c>
      <c r="C43" s="3">
        <v>60.0</v>
      </c>
      <c r="D43" s="3">
        <v>14031.0</v>
      </c>
      <c r="E43" s="3">
        <v>10002.0</v>
      </c>
      <c r="F43" s="3">
        <v>19.0</v>
      </c>
      <c r="G43" s="3">
        <v>313.0</v>
      </c>
      <c r="H43" s="3">
        <v>69.0</v>
      </c>
      <c r="I43" s="2" t="str">
        <f>IFERROR(__xludf.DUMMYFUNCTION("INDEX(SPLIT(A43, ""/""), 0, 2)"),"generated")</f>
        <v>generated</v>
      </c>
      <c r="J43" s="2" t="b">
        <f t="shared" si="1"/>
        <v>1</v>
      </c>
    </row>
    <row r="44">
      <c r="A44" s="1" t="s">
        <v>36</v>
      </c>
      <c r="B44" s="3">
        <v>6000.0</v>
      </c>
      <c r="C44" s="3">
        <v>60.0</v>
      </c>
      <c r="D44" s="3">
        <v>1194.0</v>
      </c>
      <c r="E44" s="3">
        <v>4.0</v>
      </c>
      <c r="F44" s="3">
        <v>18.0</v>
      </c>
      <c r="G44" s="3">
        <v>74.0</v>
      </c>
      <c r="H44" s="3">
        <v>4.0</v>
      </c>
      <c r="I44" s="2" t="str">
        <f>IFERROR(__xludf.DUMMYFUNCTION("INDEX(SPLIT(A44, ""/""), 0, 2)"),"generated")</f>
        <v>generated</v>
      </c>
      <c r="J44" s="2" t="b">
        <f t="shared" si="1"/>
        <v>1</v>
      </c>
    </row>
    <row r="45">
      <c r="A45" s="1" t="s">
        <v>37</v>
      </c>
      <c r="B45" s="3">
        <v>21.0</v>
      </c>
      <c r="C45" s="3">
        <v>60.0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2" t="str">
        <f>IFERROR(__xludf.DUMMYFUNCTION("INDEX(SPLIT(A45, ""/""), 0, 2)"),"generated")</f>
        <v>generated</v>
      </c>
      <c r="J45" s="2" t="b">
        <f t="shared" si="1"/>
        <v>0</v>
      </c>
    </row>
    <row r="46">
      <c r="A46" s="1" t="s">
        <v>2274</v>
      </c>
      <c r="B46" s="3">
        <v>60001.0</v>
      </c>
      <c r="C46" s="3">
        <v>60.0</v>
      </c>
      <c r="D46" s="3" t="s">
        <v>28</v>
      </c>
      <c r="E46" s="3">
        <v>54.0</v>
      </c>
      <c r="F46" s="3">
        <v>468.0</v>
      </c>
      <c r="G46" s="3">
        <v>1100.0</v>
      </c>
      <c r="H46" s="3">
        <v>38.0</v>
      </c>
      <c r="I46" s="2" t="str">
        <f>IFERROR(__xludf.DUMMYFUNCTION("INDEX(SPLIT(A46, ""/""), 0, 2)"),"generated")</f>
        <v>generated</v>
      </c>
      <c r="J46" s="2" t="b">
        <f t="shared" si="1"/>
        <v>1</v>
      </c>
    </row>
    <row r="47">
      <c r="A47" s="1" t="s">
        <v>2275</v>
      </c>
      <c r="B47" s="3">
        <v>11010.0</v>
      </c>
      <c r="C47" s="3">
        <v>60.0</v>
      </c>
      <c r="D47" s="3">
        <v>760.0</v>
      </c>
      <c r="E47" s="3">
        <v>266.0</v>
      </c>
      <c r="F47" s="3">
        <v>258.0</v>
      </c>
      <c r="G47" s="3">
        <v>4.0</v>
      </c>
      <c r="H47" s="3">
        <v>4.0</v>
      </c>
      <c r="I47" s="2" t="str">
        <f>IFERROR(__xludf.DUMMYFUNCTION("INDEX(SPLIT(A47, ""/""), 0, 2)"),"generated")</f>
        <v>generated</v>
      </c>
      <c r="J47" s="2" t="b">
        <f t="shared" si="1"/>
        <v>1</v>
      </c>
    </row>
    <row r="48">
      <c r="A48" s="1" t="s">
        <v>2276</v>
      </c>
      <c r="B48" s="3">
        <v>1120.0</v>
      </c>
      <c r="C48" s="3">
        <v>60.0</v>
      </c>
      <c r="D48" s="3">
        <v>8.0</v>
      </c>
      <c r="E48" s="3">
        <v>3.0</v>
      </c>
      <c r="F48" s="3">
        <v>3.0</v>
      </c>
      <c r="G48" s="3">
        <v>0.0</v>
      </c>
      <c r="H48" s="3">
        <v>0.0</v>
      </c>
      <c r="I48" s="2" t="str">
        <f>IFERROR(__xludf.DUMMYFUNCTION("INDEX(SPLIT(A48, ""/""), 0, 2)"),"generated")</f>
        <v>generated</v>
      </c>
      <c r="J48" s="2" t="b">
        <f t="shared" si="1"/>
        <v>0</v>
      </c>
    </row>
    <row r="49">
      <c r="A49" s="1" t="s">
        <v>2277</v>
      </c>
      <c r="B49" s="3">
        <v>55.0</v>
      </c>
      <c r="C49" s="3">
        <v>60.0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2" t="str">
        <f>IFERROR(__xludf.DUMMYFUNCTION("INDEX(SPLIT(A49, ""/""), 0, 2)"),"generated")</f>
        <v>generated</v>
      </c>
      <c r="J49" s="2" t="b">
        <f t="shared" si="1"/>
        <v>0</v>
      </c>
    </row>
    <row r="50">
      <c r="A50" s="1" t="s">
        <v>38</v>
      </c>
      <c r="B50" s="3">
        <v>20001.0</v>
      </c>
      <c r="C50" s="3">
        <v>60.0</v>
      </c>
      <c r="D50" s="3">
        <v>13853.0</v>
      </c>
      <c r="E50" s="3">
        <v>9975.0</v>
      </c>
      <c r="F50" s="3">
        <v>19.0</v>
      </c>
      <c r="G50" s="3">
        <v>310.0</v>
      </c>
      <c r="H50" s="3">
        <v>66.0</v>
      </c>
      <c r="I50" s="2" t="str">
        <f>IFERROR(__xludf.DUMMYFUNCTION("INDEX(SPLIT(A50, ""/""), 0, 2)"),"generated")</f>
        <v>generated</v>
      </c>
      <c r="J50" s="2" t="b">
        <f t="shared" si="1"/>
        <v>1</v>
      </c>
    </row>
    <row r="51">
      <c r="A51" s="1" t="s">
        <v>2278</v>
      </c>
      <c r="B51" s="3">
        <v>990.0</v>
      </c>
      <c r="C51" s="3">
        <v>60.0</v>
      </c>
      <c r="D51" s="3">
        <v>4.0</v>
      </c>
      <c r="E51" s="3">
        <v>1.0</v>
      </c>
      <c r="F51" s="3">
        <v>1.0</v>
      </c>
      <c r="G51" s="3">
        <v>0.0</v>
      </c>
      <c r="H51" s="3">
        <v>0.0</v>
      </c>
      <c r="I51" s="2" t="str">
        <f>IFERROR(__xludf.DUMMYFUNCTION("INDEX(SPLIT(A51, ""/""), 0, 2)"),"generated")</f>
        <v>generated</v>
      </c>
      <c r="J51" s="2" t="b">
        <f t="shared" si="1"/>
        <v>0</v>
      </c>
    </row>
    <row r="52">
      <c r="A52" s="1" t="s">
        <v>39</v>
      </c>
      <c r="B52" s="3">
        <v>7.0</v>
      </c>
      <c r="C52" s="3">
        <v>60.0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2" t="str">
        <f>IFERROR(__xludf.DUMMYFUNCTION("INDEX(SPLIT(A52, ""/""), 0, 2)"),"generated")</f>
        <v>generated</v>
      </c>
      <c r="J52" s="2" t="b">
        <f t="shared" si="1"/>
        <v>0</v>
      </c>
    </row>
    <row r="53">
      <c r="A53" s="1" t="s">
        <v>2279</v>
      </c>
      <c r="B53" s="3">
        <v>60000.0</v>
      </c>
      <c r="C53" s="3">
        <v>60.0</v>
      </c>
      <c r="D53" s="3" t="s">
        <v>28</v>
      </c>
      <c r="E53" s="3">
        <v>36.0</v>
      </c>
      <c r="F53" s="3">
        <v>453.0</v>
      </c>
      <c r="G53" s="3">
        <v>1117.0</v>
      </c>
      <c r="H53" s="3">
        <v>27.0</v>
      </c>
      <c r="I53" s="2" t="str">
        <f>IFERROR(__xludf.DUMMYFUNCTION("INDEX(SPLIT(A53, ""/""), 0, 2)"),"generated")</f>
        <v>generated</v>
      </c>
      <c r="J53" s="2" t="b">
        <f t="shared" si="1"/>
        <v>1</v>
      </c>
    </row>
    <row r="54">
      <c r="A54" s="1" t="s">
        <v>40</v>
      </c>
      <c r="B54" s="3">
        <v>60.0</v>
      </c>
      <c r="C54" s="3">
        <v>60.0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2" t="str">
        <f>IFERROR(__xludf.DUMMYFUNCTION("INDEX(SPLIT(A54, ""/""), 0, 2)"),"generated")</f>
        <v>generated</v>
      </c>
      <c r="J54" s="2" t="b">
        <f t="shared" si="1"/>
        <v>0</v>
      </c>
    </row>
    <row r="55">
      <c r="A55" s="1" t="s">
        <v>2280</v>
      </c>
      <c r="B55" s="3">
        <v>1001000.0</v>
      </c>
      <c r="C55" s="3">
        <v>60.0</v>
      </c>
      <c r="D55" s="3" t="s">
        <v>28</v>
      </c>
      <c r="E55" s="3">
        <v>15243.0</v>
      </c>
      <c r="F55" s="3" t="s">
        <v>28</v>
      </c>
      <c r="G55" s="3">
        <v>265.0</v>
      </c>
      <c r="H55" s="3">
        <v>227.0</v>
      </c>
      <c r="I55" s="2" t="str">
        <f>IFERROR(__xludf.DUMMYFUNCTION("INDEX(SPLIT(A55, ""/""), 0, 2)"),"generated")</f>
        <v>generated</v>
      </c>
      <c r="J55" s="2" t="b">
        <f t="shared" si="1"/>
        <v>1</v>
      </c>
    </row>
    <row r="56">
      <c r="A56" s="1" t="s">
        <v>41</v>
      </c>
      <c r="B56" s="3">
        <v>6001.0</v>
      </c>
      <c r="C56" s="3">
        <v>60.0</v>
      </c>
      <c r="D56" s="3">
        <v>1211.0</v>
      </c>
      <c r="E56" s="3">
        <v>864.0</v>
      </c>
      <c r="F56" s="3">
        <v>4.0</v>
      </c>
      <c r="G56" s="3">
        <v>75.0</v>
      </c>
      <c r="H56" s="3">
        <v>18.0</v>
      </c>
      <c r="I56" s="2" t="str">
        <f>IFERROR(__xludf.DUMMYFUNCTION("INDEX(SPLIT(A56, ""/""), 0, 2)"),"generated")</f>
        <v>generated</v>
      </c>
      <c r="J56" s="2" t="b">
        <f t="shared" si="1"/>
        <v>1</v>
      </c>
    </row>
    <row r="57">
      <c r="A57" s="1" t="s">
        <v>2281</v>
      </c>
      <c r="B57" s="3">
        <v>55.0</v>
      </c>
      <c r="C57" s="3">
        <v>60.0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2" t="str">
        <f>IFERROR(__xludf.DUMMYFUNCTION("INDEX(SPLIT(A57, ""/""), 0, 2)"),"generated")</f>
        <v>generated</v>
      </c>
      <c r="J57" s="2" t="b">
        <f t="shared" si="1"/>
        <v>0</v>
      </c>
    </row>
    <row r="58">
      <c r="A58" s="1" t="s">
        <v>42</v>
      </c>
      <c r="B58" s="3">
        <v>2000.0</v>
      </c>
      <c r="C58" s="3">
        <v>60.0</v>
      </c>
      <c r="D58" s="3">
        <v>130.0</v>
      </c>
      <c r="E58" s="3">
        <v>94.0</v>
      </c>
      <c r="F58" s="3">
        <v>1.0</v>
      </c>
      <c r="G58" s="3">
        <v>19.0</v>
      </c>
      <c r="H58" s="3">
        <v>4.0</v>
      </c>
      <c r="I58" s="2" t="str">
        <f>IFERROR(__xludf.DUMMYFUNCTION("INDEX(SPLIT(A58, ""/""), 0, 2)"),"generated")</f>
        <v>generated</v>
      </c>
      <c r="J58" s="2" t="b">
        <f t="shared" si="1"/>
        <v>1</v>
      </c>
    </row>
    <row r="59">
      <c r="A59" s="1" t="s">
        <v>43</v>
      </c>
      <c r="B59" s="3">
        <v>20.0</v>
      </c>
      <c r="C59" s="3">
        <v>60.0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2" t="str">
        <f>IFERROR(__xludf.DUMMYFUNCTION("INDEX(SPLIT(A59, ""/""), 0, 2)"),"generated")</f>
        <v>generated</v>
      </c>
      <c r="J59" s="2" t="b">
        <f t="shared" si="1"/>
        <v>0</v>
      </c>
    </row>
    <row r="60">
      <c r="A60" s="1" t="s">
        <v>2282</v>
      </c>
      <c r="B60" s="3">
        <v>960.0</v>
      </c>
      <c r="C60" s="3">
        <v>60.0</v>
      </c>
      <c r="D60" s="3">
        <v>3.0</v>
      </c>
      <c r="E60" s="3">
        <v>1.0</v>
      </c>
      <c r="F60" s="3">
        <v>1.0</v>
      </c>
      <c r="G60" s="3">
        <v>0.0</v>
      </c>
      <c r="H60" s="3">
        <v>0.0</v>
      </c>
      <c r="I60" s="2" t="str">
        <f>IFERROR(__xludf.DUMMYFUNCTION("INDEX(SPLIT(A60, ""/""), 0, 2)"),"generated")</f>
        <v>generated</v>
      </c>
      <c r="J60" s="2" t="b">
        <f t="shared" si="1"/>
        <v>0</v>
      </c>
    </row>
    <row r="61">
      <c r="A61" s="1" t="s">
        <v>44</v>
      </c>
      <c r="B61" s="3">
        <v>2000.0</v>
      </c>
      <c r="C61" s="3">
        <v>60.0</v>
      </c>
      <c r="D61" s="3">
        <v>130.0</v>
      </c>
      <c r="E61" s="3">
        <v>1.0</v>
      </c>
      <c r="F61" s="3">
        <v>3.0</v>
      </c>
      <c r="G61" s="3">
        <v>19.0</v>
      </c>
      <c r="H61" s="3">
        <v>0.0</v>
      </c>
      <c r="I61" s="2" t="str">
        <f>IFERROR(__xludf.DUMMYFUNCTION("INDEX(SPLIT(A61, ""/""), 0, 2)"),"generated")</f>
        <v>generated</v>
      </c>
      <c r="J61" s="2" t="b">
        <f t="shared" si="1"/>
        <v>1</v>
      </c>
    </row>
    <row r="62">
      <c r="A62" s="1" t="s">
        <v>2283</v>
      </c>
      <c r="B62" s="3">
        <v>10000.0</v>
      </c>
      <c r="C62" s="3">
        <v>60.0</v>
      </c>
      <c r="D62" s="3">
        <v>356.0</v>
      </c>
      <c r="E62" s="3">
        <v>17.0</v>
      </c>
      <c r="F62" s="3">
        <v>37.0</v>
      </c>
      <c r="G62" s="3">
        <v>8.0</v>
      </c>
      <c r="H62" s="3">
        <v>4.0</v>
      </c>
      <c r="I62" s="2" t="str">
        <f>IFERROR(__xludf.DUMMYFUNCTION("INDEX(SPLIT(A62, ""/""), 0, 2)"),"generated")</f>
        <v>generated</v>
      </c>
      <c r="J62" s="2" t="b">
        <f t="shared" si="1"/>
        <v>1</v>
      </c>
    </row>
    <row r="63">
      <c r="A63" s="1" t="s">
        <v>2284</v>
      </c>
      <c r="B63" s="3">
        <v>12010.0</v>
      </c>
      <c r="C63" s="3">
        <v>60.0</v>
      </c>
      <c r="D63" s="3">
        <v>732.0</v>
      </c>
      <c r="E63" s="3">
        <v>9.0</v>
      </c>
      <c r="F63" s="3">
        <v>12.0</v>
      </c>
      <c r="G63" s="3">
        <v>25.0</v>
      </c>
      <c r="H63" s="3">
        <v>4.0</v>
      </c>
      <c r="I63" s="2" t="str">
        <f>IFERROR(__xludf.DUMMYFUNCTION("INDEX(SPLIT(A63, ""/""), 0, 2)"),"generated")</f>
        <v>generated</v>
      </c>
      <c r="J63" s="2" t="b">
        <f t="shared" si="1"/>
        <v>1</v>
      </c>
    </row>
    <row r="64">
      <c r="A64" s="1" t="s">
        <v>2285</v>
      </c>
      <c r="B64" s="3">
        <v>45150.0</v>
      </c>
      <c r="C64" s="3">
        <v>60.0</v>
      </c>
      <c r="D64" s="3">
        <v>14186.0</v>
      </c>
      <c r="E64" s="3">
        <v>19.0</v>
      </c>
      <c r="F64" s="3">
        <v>20511.0</v>
      </c>
      <c r="G64" s="3">
        <v>758.0</v>
      </c>
      <c r="H64" s="3">
        <v>22.0</v>
      </c>
      <c r="I64" s="2" t="str">
        <f>IFERROR(__xludf.DUMMYFUNCTION("INDEX(SPLIT(A64, ""/""), 0, 2)"),"generated")</f>
        <v>generated</v>
      </c>
      <c r="J64" s="2" t="b">
        <f t="shared" si="1"/>
        <v>1</v>
      </c>
    </row>
    <row r="65">
      <c r="A65" s="1" t="s">
        <v>45</v>
      </c>
      <c r="B65" s="3">
        <v>61.0</v>
      </c>
      <c r="C65" s="3">
        <v>60.0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2" t="str">
        <f>IFERROR(__xludf.DUMMYFUNCTION("INDEX(SPLIT(A65, ""/""), 0, 2)"),"generated")</f>
        <v>generated</v>
      </c>
      <c r="J65" s="2" t="b">
        <f t="shared" si="1"/>
        <v>0</v>
      </c>
    </row>
    <row r="66">
      <c r="A66" s="1" t="s">
        <v>2286</v>
      </c>
      <c r="B66" s="3">
        <v>53.0</v>
      </c>
      <c r="C66" s="3">
        <v>60.0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2" t="str">
        <f>IFERROR(__xludf.DUMMYFUNCTION("INDEX(SPLIT(A66, ""/""), 0, 2)"),"generated")</f>
        <v>generated</v>
      </c>
      <c r="J66" s="2" t="b">
        <f t="shared" si="1"/>
        <v>0</v>
      </c>
    </row>
    <row r="67">
      <c r="A67" s="1" t="s">
        <v>2287</v>
      </c>
      <c r="B67" s="3">
        <v>90300.0</v>
      </c>
      <c r="C67" s="3">
        <v>60.0</v>
      </c>
      <c r="D67" s="3" t="s">
        <v>28</v>
      </c>
      <c r="E67" s="3">
        <v>419.0</v>
      </c>
      <c r="F67" s="3">
        <v>2426.0</v>
      </c>
      <c r="G67" s="3">
        <v>26.0</v>
      </c>
      <c r="H67" s="3">
        <v>17.0</v>
      </c>
      <c r="I67" s="2" t="str">
        <f>IFERROR(__xludf.DUMMYFUNCTION("INDEX(SPLIT(A67, ""/""), 0, 2)"),"generated")</f>
        <v>generated</v>
      </c>
      <c r="J67" s="2" t="b">
        <f t="shared" si="1"/>
        <v>1</v>
      </c>
    </row>
    <row r="68">
      <c r="A68" s="1" t="s">
        <v>2288</v>
      </c>
      <c r="B68" s="3">
        <v>200000.0</v>
      </c>
      <c r="C68" s="3">
        <v>60.0</v>
      </c>
      <c r="D68" s="3" t="s">
        <v>28</v>
      </c>
      <c r="E68" s="3" t="s">
        <v>28</v>
      </c>
      <c r="F68" s="3">
        <v>235.0</v>
      </c>
      <c r="G68" s="3">
        <v>4450.0</v>
      </c>
      <c r="H68" s="3">
        <v>876.0</v>
      </c>
      <c r="I68" s="2" t="str">
        <f>IFERROR(__xludf.DUMMYFUNCTION("INDEX(SPLIT(A68, ""/""), 0, 2)"),"generated")</f>
        <v>generated</v>
      </c>
      <c r="J68" s="2" t="b">
        <f t="shared" si="1"/>
        <v>1</v>
      </c>
    </row>
    <row r="69">
      <c r="A69" s="1" t="s">
        <v>2289</v>
      </c>
      <c r="B69" s="3">
        <v>15.0</v>
      </c>
      <c r="C69" s="3">
        <v>60.0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2" t="str">
        <f>IFERROR(__xludf.DUMMYFUNCTION("INDEX(SPLIT(A69, ""/""), 0, 2)"),"generated")</f>
        <v>generated</v>
      </c>
      <c r="J69" s="2" t="b">
        <f t="shared" si="1"/>
        <v>0</v>
      </c>
    </row>
    <row r="70">
      <c r="A70" s="1" t="s">
        <v>2290</v>
      </c>
      <c r="B70" s="3">
        <v>110.0</v>
      </c>
      <c r="C70" s="3">
        <v>60.0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2" t="str">
        <f>IFERROR(__xludf.DUMMYFUNCTION("INDEX(SPLIT(A70, ""/""), 0, 2)"),"generated")</f>
        <v>generated</v>
      </c>
      <c r="J70" s="2" t="b">
        <f t="shared" si="1"/>
        <v>0</v>
      </c>
    </row>
    <row r="71">
      <c r="A71" s="1" t="s">
        <v>2291</v>
      </c>
      <c r="B71" s="3">
        <v>200001.0</v>
      </c>
      <c r="C71" s="3">
        <v>60.0</v>
      </c>
      <c r="D71" s="3" t="s">
        <v>28</v>
      </c>
      <c r="E71" s="3" t="s">
        <v>28</v>
      </c>
      <c r="F71" s="3">
        <v>329.0</v>
      </c>
      <c r="G71" s="3">
        <v>4471.0</v>
      </c>
      <c r="H71" s="3">
        <v>873.0</v>
      </c>
      <c r="I71" s="2" t="str">
        <f>IFERROR(__xludf.DUMMYFUNCTION("INDEX(SPLIT(A71, ""/""), 0, 2)"),"generated")</f>
        <v>generated</v>
      </c>
      <c r="J71" s="2" t="b">
        <f t="shared" si="1"/>
        <v>1</v>
      </c>
    </row>
    <row r="72">
      <c r="A72" s="1" t="s">
        <v>2292</v>
      </c>
      <c r="B72" s="3">
        <v>60000.0</v>
      </c>
      <c r="C72" s="3">
        <v>60.0</v>
      </c>
      <c r="D72" s="3" t="s">
        <v>28</v>
      </c>
      <c r="E72" s="3" t="s">
        <v>28</v>
      </c>
      <c r="F72" s="3">
        <v>95.0</v>
      </c>
      <c r="G72" s="3">
        <v>1159.0</v>
      </c>
      <c r="H72" s="3">
        <v>243.0</v>
      </c>
      <c r="I72" s="2" t="str">
        <f>IFERROR(__xludf.DUMMYFUNCTION("INDEX(SPLIT(A72, ""/""), 0, 2)"),"generated")</f>
        <v>generated</v>
      </c>
      <c r="J72" s="2" t="b">
        <f t="shared" si="1"/>
        <v>1</v>
      </c>
    </row>
    <row r="73">
      <c r="A73" s="1" t="s">
        <v>2293</v>
      </c>
      <c r="B73" s="3">
        <v>90900.0</v>
      </c>
      <c r="C73" s="3">
        <v>60.0</v>
      </c>
      <c r="D73" s="3">
        <v>3247.0</v>
      </c>
      <c r="E73" s="3">
        <v>709.0</v>
      </c>
      <c r="F73" s="3">
        <v>736.0</v>
      </c>
      <c r="G73" s="3">
        <v>36.0</v>
      </c>
      <c r="H73" s="3">
        <v>29.0</v>
      </c>
      <c r="I73" s="2" t="str">
        <f>IFERROR(__xludf.DUMMYFUNCTION("INDEX(SPLIT(A73, ""/""), 0, 2)"),"generated")</f>
        <v>generated</v>
      </c>
      <c r="J73" s="2" t="b">
        <f t="shared" si="1"/>
        <v>1</v>
      </c>
    </row>
    <row r="74">
      <c r="A74" s="1" t="s">
        <v>2294</v>
      </c>
      <c r="B74" s="3">
        <v>200000.0</v>
      </c>
      <c r="C74" s="3">
        <v>60.0</v>
      </c>
      <c r="D74" s="3" t="s">
        <v>28</v>
      </c>
      <c r="E74" s="3">
        <v>245.0</v>
      </c>
      <c r="F74" s="3">
        <v>2875.0</v>
      </c>
      <c r="G74" s="3">
        <v>4428.0</v>
      </c>
      <c r="H74" s="3">
        <v>179.0</v>
      </c>
      <c r="I74" s="2" t="str">
        <f>IFERROR(__xludf.DUMMYFUNCTION("INDEX(SPLIT(A74, ""/""), 0, 2)"),"generated")</f>
        <v>generated</v>
      </c>
      <c r="J74" s="2" t="b">
        <f t="shared" si="1"/>
        <v>1</v>
      </c>
    </row>
    <row r="75">
      <c r="A75" s="1" t="s">
        <v>46</v>
      </c>
      <c r="B75" s="3">
        <v>6001.0</v>
      </c>
      <c r="C75" s="3">
        <v>60.0</v>
      </c>
      <c r="D75" s="3">
        <v>1198.0</v>
      </c>
      <c r="E75" s="3">
        <v>4.0</v>
      </c>
      <c r="F75" s="3">
        <v>18.0</v>
      </c>
      <c r="G75" s="3">
        <v>73.0</v>
      </c>
      <c r="H75" s="3">
        <v>2.0</v>
      </c>
      <c r="I75" s="2" t="str">
        <f>IFERROR(__xludf.DUMMYFUNCTION("INDEX(SPLIT(A75, ""/""), 0, 2)"),"generated")</f>
        <v>generated</v>
      </c>
      <c r="J75" s="2" t="b">
        <f t="shared" si="1"/>
        <v>1</v>
      </c>
    </row>
    <row r="76">
      <c r="A76" s="1" t="s">
        <v>47</v>
      </c>
      <c r="B76" s="3">
        <v>20001.0</v>
      </c>
      <c r="C76" s="3">
        <v>60.0</v>
      </c>
      <c r="D76" s="3">
        <v>13917.0</v>
      </c>
      <c r="E76" s="3">
        <v>15.0</v>
      </c>
      <c r="F76" s="3">
        <v>93.0</v>
      </c>
      <c r="G76" s="3">
        <v>305.0</v>
      </c>
      <c r="H76" s="3">
        <v>11.0</v>
      </c>
      <c r="I76" s="2" t="str">
        <f>IFERROR(__xludf.DUMMYFUNCTION("INDEX(SPLIT(A76, ""/""), 0, 2)"),"generated")</f>
        <v>generated</v>
      </c>
      <c r="J76" s="2" t="b">
        <f t="shared" si="1"/>
        <v>1</v>
      </c>
    </row>
    <row r="77">
      <c r="A77" s="1" t="s">
        <v>48</v>
      </c>
      <c r="B77" s="3">
        <v>601.0</v>
      </c>
      <c r="C77" s="3">
        <v>60.0</v>
      </c>
      <c r="D77" s="3">
        <v>11.0</v>
      </c>
      <c r="E77" s="3">
        <v>0.0</v>
      </c>
      <c r="F77" s="3">
        <v>0.0</v>
      </c>
      <c r="G77" s="3">
        <v>4.0</v>
      </c>
      <c r="H77" s="3">
        <v>0.0</v>
      </c>
      <c r="I77" s="2" t="str">
        <f>IFERROR(__xludf.DUMMYFUNCTION("INDEX(SPLIT(A77, ""/""), 0, 2)"),"generated")</f>
        <v>generated</v>
      </c>
      <c r="J77" s="2" t="b">
        <f t="shared" si="1"/>
        <v>1</v>
      </c>
    </row>
    <row r="78">
      <c r="A78" s="1" t="s">
        <v>2295</v>
      </c>
      <c r="B78" s="3">
        <v>45450.0</v>
      </c>
      <c r="C78" s="3">
        <v>60.0</v>
      </c>
      <c r="D78" s="3">
        <v>202.0</v>
      </c>
      <c r="E78" s="3">
        <v>403.0</v>
      </c>
      <c r="F78" s="3">
        <v>26.0</v>
      </c>
      <c r="G78" s="3">
        <v>15.0</v>
      </c>
      <c r="H78" s="3">
        <v>9.0</v>
      </c>
      <c r="I78" s="2" t="str">
        <f>IFERROR(__xludf.DUMMYFUNCTION("INDEX(SPLIT(A78, ""/""), 0, 2)"),"generated")</f>
        <v>generated</v>
      </c>
      <c r="J78" s="2" t="b">
        <f t="shared" si="1"/>
        <v>1</v>
      </c>
    </row>
    <row r="79">
      <c r="A79" s="1" t="s">
        <v>2296</v>
      </c>
      <c r="B79" s="3">
        <v>1110.0</v>
      </c>
      <c r="C79" s="3">
        <v>60.0</v>
      </c>
      <c r="D79" s="3">
        <v>8.0</v>
      </c>
      <c r="E79" s="3">
        <v>3.0</v>
      </c>
      <c r="F79" s="3">
        <v>3.0</v>
      </c>
      <c r="G79" s="3">
        <v>0.0</v>
      </c>
      <c r="H79" s="3">
        <v>0.0</v>
      </c>
      <c r="I79" s="2" t="str">
        <f>IFERROR(__xludf.DUMMYFUNCTION("INDEX(SPLIT(A79, ""/""), 0, 2)"),"generated")</f>
        <v>generated</v>
      </c>
      <c r="J79" s="2" t="b">
        <f t="shared" si="1"/>
        <v>0</v>
      </c>
    </row>
    <row r="80">
      <c r="A80" s="1" t="s">
        <v>49</v>
      </c>
      <c r="B80" s="3">
        <v>20.0</v>
      </c>
      <c r="C80" s="3">
        <v>60.0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2" t="str">
        <f>IFERROR(__xludf.DUMMYFUNCTION("INDEX(SPLIT(A80, ""/""), 0, 2)"),"generated")</f>
        <v>generated</v>
      </c>
      <c r="J80" s="2" t="b">
        <f t="shared" si="1"/>
        <v>0</v>
      </c>
    </row>
    <row r="81">
      <c r="A81" s="1" t="s">
        <v>2297</v>
      </c>
      <c r="B81" s="3">
        <v>200001.0</v>
      </c>
      <c r="C81" s="3">
        <v>60.0</v>
      </c>
      <c r="D81" s="3" t="s">
        <v>28</v>
      </c>
      <c r="E81" s="3">
        <v>241.0</v>
      </c>
      <c r="F81" s="3">
        <v>2796.0</v>
      </c>
      <c r="G81" s="3">
        <v>4433.0</v>
      </c>
      <c r="H81" s="3">
        <v>128.0</v>
      </c>
      <c r="I81" s="2" t="str">
        <f>IFERROR(__xludf.DUMMYFUNCTION("INDEX(SPLIT(A81, ""/""), 0, 2)"),"generated")</f>
        <v>generated</v>
      </c>
      <c r="J81" s="2" t="b">
        <f t="shared" si="1"/>
        <v>1</v>
      </c>
    </row>
    <row r="82">
      <c r="A82" s="1" t="s">
        <v>50</v>
      </c>
      <c r="B82" s="3">
        <v>201.0</v>
      </c>
      <c r="C82" s="3">
        <v>60.0</v>
      </c>
      <c r="D82" s="3">
        <v>1.0</v>
      </c>
      <c r="E82" s="3">
        <v>0.0</v>
      </c>
      <c r="F82" s="3">
        <v>0.0</v>
      </c>
      <c r="G82" s="3">
        <v>1.0</v>
      </c>
      <c r="H82" s="3">
        <v>0.0</v>
      </c>
      <c r="I82" s="2" t="str">
        <f>IFERROR(__xludf.DUMMYFUNCTION("INDEX(SPLIT(A82, ""/""), 0, 2)"),"generated")</f>
        <v>generated</v>
      </c>
      <c r="J82" s="2" t="b">
        <f t="shared" si="1"/>
        <v>0</v>
      </c>
    </row>
    <row r="83">
      <c r="A83" s="1" t="s">
        <v>51</v>
      </c>
      <c r="B83" s="3">
        <v>20000.0</v>
      </c>
      <c r="C83" s="3">
        <v>60.0</v>
      </c>
      <c r="D83" s="3">
        <v>13979.0</v>
      </c>
      <c r="E83" s="3">
        <v>11.0</v>
      </c>
      <c r="F83" s="3">
        <v>89.0</v>
      </c>
      <c r="G83" s="3">
        <v>303.0</v>
      </c>
      <c r="H83" s="3">
        <v>8.0</v>
      </c>
      <c r="I83" s="2" t="str">
        <f>IFERROR(__xludf.DUMMYFUNCTION("INDEX(SPLIT(A83, ""/""), 0, 2)"),"generated")</f>
        <v>generated</v>
      </c>
      <c r="J83" s="2" t="b">
        <f t="shared" si="1"/>
        <v>1</v>
      </c>
    </row>
    <row r="84">
      <c r="A84" s="1" t="s">
        <v>2298</v>
      </c>
      <c r="B84" s="3">
        <v>60001.0</v>
      </c>
      <c r="C84" s="3">
        <v>60.0</v>
      </c>
      <c r="D84" s="3" t="s">
        <v>28</v>
      </c>
      <c r="E84" s="3" t="s">
        <v>28</v>
      </c>
      <c r="F84" s="3">
        <v>100.0</v>
      </c>
      <c r="G84" s="3">
        <v>1157.0</v>
      </c>
      <c r="H84" s="3">
        <v>232.0</v>
      </c>
      <c r="I84" s="2" t="str">
        <f>IFERROR(__xludf.DUMMYFUNCTION("INDEX(SPLIT(A84, ""/""), 0, 2)"),"generated")</f>
        <v>generated</v>
      </c>
      <c r="J84" s="2" t="b">
        <f t="shared" si="1"/>
        <v>1</v>
      </c>
    </row>
    <row r="85">
      <c r="A85" s="1" t="s">
        <v>2299</v>
      </c>
      <c r="B85" s="3">
        <v>350.0</v>
      </c>
      <c r="C85" s="3">
        <v>60.0</v>
      </c>
      <c r="D85" s="3">
        <v>1.0</v>
      </c>
      <c r="E85" s="3">
        <v>0.0</v>
      </c>
      <c r="F85" s="3">
        <v>0.0</v>
      </c>
      <c r="G85" s="3">
        <v>0.0</v>
      </c>
      <c r="H85" s="3">
        <v>0.0</v>
      </c>
      <c r="I85" s="2" t="str">
        <f>IFERROR(__xludf.DUMMYFUNCTION("INDEX(SPLIT(A85, ""/""), 0, 2)"),"generated")</f>
        <v>generated</v>
      </c>
      <c r="J85" s="2" t="b">
        <f t="shared" si="1"/>
        <v>0</v>
      </c>
    </row>
    <row r="86">
      <c r="A86" s="1" t="s">
        <v>2300</v>
      </c>
      <c r="B86" s="3">
        <v>43.0</v>
      </c>
      <c r="C86" s="3">
        <v>60.0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2" t="str">
        <f>IFERROR(__xludf.DUMMYFUNCTION("INDEX(SPLIT(A86, ""/""), 0, 2)"),"generated")</f>
        <v>generated</v>
      </c>
      <c r="J86" s="2" t="b">
        <f t="shared" si="1"/>
        <v>0</v>
      </c>
    </row>
    <row r="87">
      <c r="A87" s="1" t="s">
        <v>2301</v>
      </c>
      <c r="B87" s="3">
        <v>501500.0</v>
      </c>
      <c r="C87" s="3">
        <v>60.0</v>
      </c>
      <c r="D87" s="3">
        <v>7427.0</v>
      </c>
      <c r="E87" s="3">
        <v>14811.0</v>
      </c>
      <c r="F87" s="3">
        <v>288.0</v>
      </c>
      <c r="G87" s="3">
        <v>141.0</v>
      </c>
      <c r="H87" s="3">
        <v>113.0</v>
      </c>
      <c r="I87" s="2" t="str">
        <f>IFERROR(__xludf.DUMMYFUNCTION("INDEX(SPLIT(A87, ""/""), 0, 2)"),"generated")</f>
        <v>generated</v>
      </c>
      <c r="J87" s="2" t="b">
        <f t="shared" si="1"/>
        <v>1</v>
      </c>
    </row>
    <row r="88">
      <c r="A88" s="1" t="s">
        <v>2302</v>
      </c>
      <c r="B88" s="3">
        <v>45150.0</v>
      </c>
      <c r="C88" s="3">
        <v>60.0</v>
      </c>
      <c r="D88" s="3">
        <v>14.0</v>
      </c>
      <c r="E88" s="3">
        <v>279.0</v>
      </c>
      <c r="F88" s="3">
        <v>27.0</v>
      </c>
      <c r="G88" s="3">
        <v>13.0</v>
      </c>
      <c r="H88" s="3">
        <v>13.0</v>
      </c>
      <c r="I88" s="2" t="str">
        <f>IFERROR(__xludf.DUMMYFUNCTION("INDEX(SPLIT(A88, ""/""), 0, 2)"),"generated")</f>
        <v>generated</v>
      </c>
      <c r="J88" s="2" t="b">
        <f t="shared" si="1"/>
        <v>1</v>
      </c>
    </row>
    <row r="89">
      <c r="A89" s="1" t="s">
        <v>52</v>
      </c>
      <c r="B89" s="3">
        <v>200.0</v>
      </c>
      <c r="C89" s="3">
        <v>60.0</v>
      </c>
      <c r="D89" s="3">
        <v>1.0</v>
      </c>
      <c r="E89" s="3">
        <v>0.0</v>
      </c>
      <c r="F89" s="3">
        <v>0.0</v>
      </c>
      <c r="G89" s="3">
        <v>1.0</v>
      </c>
      <c r="H89" s="3">
        <v>0.0</v>
      </c>
      <c r="I89" s="2" t="str">
        <f>IFERROR(__xludf.DUMMYFUNCTION("INDEX(SPLIT(A89, ""/""), 0, 2)"),"generated")</f>
        <v>generated</v>
      </c>
      <c r="J89" s="2" t="b">
        <f t="shared" si="1"/>
        <v>0</v>
      </c>
    </row>
    <row r="90">
      <c r="A90" s="1" t="s">
        <v>53</v>
      </c>
      <c r="B90" s="3">
        <v>600.0</v>
      </c>
      <c r="C90" s="3">
        <v>60.0</v>
      </c>
      <c r="D90" s="3">
        <v>11.0</v>
      </c>
      <c r="E90" s="3">
        <v>0.0</v>
      </c>
      <c r="F90" s="3">
        <v>0.0</v>
      </c>
      <c r="G90" s="3">
        <v>4.0</v>
      </c>
      <c r="H90" s="3">
        <v>0.0</v>
      </c>
      <c r="I90" s="2" t="str">
        <f>IFERROR(__xludf.DUMMYFUNCTION("INDEX(SPLIT(A90, ""/""), 0, 2)"),"generated")</f>
        <v>generated</v>
      </c>
      <c r="J90" s="2" t="b">
        <f t="shared" si="1"/>
        <v>1</v>
      </c>
    </row>
    <row r="91">
      <c r="A91" s="1" t="s">
        <v>2303</v>
      </c>
      <c r="B91" s="3">
        <v>5150.0</v>
      </c>
      <c r="C91" s="3">
        <v>60.0</v>
      </c>
      <c r="D91" s="3">
        <v>195.0</v>
      </c>
      <c r="E91" s="3">
        <v>1.0</v>
      </c>
      <c r="F91" s="3">
        <v>274.0</v>
      </c>
      <c r="G91" s="3">
        <v>2.0</v>
      </c>
      <c r="H91" s="3">
        <v>1.0</v>
      </c>
      <c r="I91" s="2" t="str">
        <f>IFERROR(__xludf.DUMMYFUNCTION("INDEX(SPLIT(A91, ""/""), 0, 2)"),"generated")</f>
        <v>generated</v>
      </c>
      <c r="J91" s="2" t="b">
        <f t="shared" si="1"/>
        <v>1</v>
      </c>
    </row>
    <row r="92">
      <c r="A92" s="1" t="s">
        <v>2304</v>
      </c>
      <c r="B92" s="3">
        <v>12.0</v>
      </c>
      <c r="C92" s="3">
        <v>60.0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2" t="str">
        <f>IFERROR(__xludf.DUMMYFUNCTION("INDEX(SPLIT(A92, ""/""), 0, 2)"),"generated")</f>
        <v>generated</v>
      </c>
      <c r="J92" s="2" t="b">
        <f t="shared" si="1"/>
        <v>0</v>
      </c>
    </row>
    <row r="93">
      <c r="A93" s="1" t="s">
        <v>54</v>
      </c>
      <c r="B93" s="3">
        <v>200.0</v>
      </c>
      <c r="C93" s="3">
        <v>60.0</v>
      </c>
      <c r="D93" s="3">
        <v>1.0</v>
      </c>
      <c r="E93" s="3">
        <v>1.0</v>
      </c>
      <c r="F93" s="3">
        <v>0.0</v>
      </c>
      <c r="G93" s="3">
        <v>1.0</v>
      </c>
      <c r="H93" s="3">
        <v>0.0</v>
      </c>
      <c r="I93" s="2" t="str">
        <f>IFERROR(__xludf.DUMMYFUNCTION("INDEX(SPLIT(A93, ""/""), 0, 2)"),"generated")</f>
        <v>generated</v>
      </c>
      <c r="J93" s="2" t="b">
        <f t="shared" si="1"/>
        <v>0</v>
      </c>
    </row>
    <row r="94">
      <c r="A94" s="1" t="s">
        <v>2305</v>
      </c>
      <c r="B94" s="3">
        <v>200000.0</v>
      </c>
      <c r="C94" s="3">
        <v>60.0</v>
      </c>
      <c r="D94" s="3" t="s">
        <v>28</v>
      </c>
      <c r="E94" s="3" t="s">
        <v>28</v>
      </c>
      <c r="F94" s="3">
        <v>371.0</v>
      </c>
      <c r="G94" s="3">
        <v>4520.0</v>
      </c>
      <c r="H94" s="3">
        <v>929.0</v>
      </c>
      <c r="I94" s="2" t="str">
        <f>IFERROR(__xludf.DUMMYFUNCTION("INDEX(SPLIT(A94, ""/""), 0, 2)"),"generated")</f>
        <v>generated</v>
      </c>
      <c r="J94" s="2" t="b">
        <f t="shared" si="1"/>
        <v>1</v>
      </c>
    </row>
    <row r="95">
      <c r="A95" s="1" t="s">
        <v>2306</v>
      </c>
      <c r="B95" s="3">
        <v>6.0</v>
      </c>
      <c r="C95" s="3">
        <v>60.0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2" t="str">
        <f>IFERROR(__xludf.DUMMYFUNCTION("INDEX(SPLIT(A95, ""/""), 0, 2)"),"generated")</f>
        <v>generated</v>
      </c>
      <c r="J95" s="2" t="b">
        <f t="shared" si="1"/>
        <v>0</v>
      </c>
    </row>
    <row r="96">
      <c r="A96" s="1" t="s">
        <v>55</v>
      </c>
      <c r="B96" s="3">
        <v>2001.0</v>
      </c>
      <c r="C96" s="3">
        <v>60.0</v>
      </c>
      <c r="D96" s="3">
        <v>130.0</v>
      </c>
      <c r="E96" s="3">
        <v>1.0</v>
      </c>
      <c r="F96" s="3">
        <v>4.0</v>
      </c>
      <c r="G96" s="3">
        <v>20.0</v>
      </c>
      <c r="H96" s="3">
        <v>1.0</v>
      </c>
      <c r="I96" s="2" t="str">
        <f>IFERROR(__xludf.DUMMYFUNCTION("INDEX(SPLIT(A96, ""/""), 0, 2)"),"generated")</f>
        <v>generated</v>
      </c>
      <c r="J96" s="2" t="b">
        <f t="shared" si="1"/>
        <v>1</v>
      </c>
    </row>
    <row r="97">
      <c r="A97" s="1" t="s">
        <v>56</v>
      </c>
      <c r="B97" s="3">
        <v>60.0</v>
      </c>
      <c r="C97" s="3">
        <v>60.0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2" t="str">
        <f>IFERROR(__xludf.DUMMYFUNCTION("INDEX(SPLIT(A97, ""/""), 0, 2)"),"generated")</f>
        <v>generated</v>
      </c>
      <c r="J97" s="2" t="b">
        <f t="shared" si="1"/>
        <v>0</v>
      </c>
    </row>
    <row r="98">
      <c r="A98" s="1" t="s">
        <v>2307</v>
      </c>
      <c r="B98" s="3">
        <v>10200.0</v>
      </c>
      <c r="C98" s="3">
        <v>60.0</v>
      </c>
      <c r="D98" s="3">
        <v>122.0</v>
      </c>
      <c r="E98" s="3">
        <v>30.0</v>
      </c>
      <c r="F98" s="3">
        <v>32.0</v>
      </c>
      <c r="G98" s="3">
        <v>6.0</v>
      </c>
      <c r="H98" s="3">
        <v>4.0</v>
      </c>
      <c r="I98" s="2" t="str">
        <f>IFERROR(__xludf.DUMMYFUNCTION("INDEX(SPLIT(A98, ""/""), 0, 2)"),"generated")</f>
        <v>generated</v>
      </c>
      <c r="J98" s="2" t="b">
        <f t="shared" si="1"/>
        <v>1</v>
      </c>
    </row>
    <row r="99">
      <c r="A99" s="1" t="s">
        <v>57</v>
      </c>
      <c r="B99" s="3">
        <v>201.0</v>
      </c>
      <c r="C99" s="3">
        <v>60.0</v>
      </c>
      <c r="D99" s="3">
        <v>1.0</v>
      </c>
      <c r="E99" s="3">
        <v>1.0</v>
      </c>
      <c r="F99" s="3">
        <v>0.0</v>
      </c>
      <c r="G99" s="3">
        <v>1.0</v>
      </c>
      <c r="H99" s="3">
        <v>0.0</v>
      </c>
      <c r="I99" s="2" t="str">
        <f>IFERROR(__xludf.DUMMYFUNCTION("INDEX(SPLIT(A99, ""/""), 0, 2)"),"generated")</f>
        <v>generated</v>
      </c>
      <c r="J99" s="2" t="b">
        <f t="shared" si="1"/>
        <v>0</v>
      </c>
    </row>
    <row r="100">
      <c r="A100" s="1" t="s">
        <v>2308</v>
      </c>
      <c r="B100" s="3">
        <v>200001.0</v>
      </c>
      <c r="C100" s="3">
        <v>60.0</v>
      </c>
      <c r="D100" s="3" t="s">
        <v>28</v>
      </c>
      <c r="E100" s="3" t="s">
        <v>28</v>
      </c>
      <c r="F100" s="3">
        <v>186.0</v>
      </c>
      <c r="G100" s="3">
        <v>4482.0</v>
      </c>
      <c r="H100" s="3">
        <v>919.0</v>
      </c>
      <c r="I100" s="2" t="str">
        <f>IFERROR(__xludf.DUMMYFUNCTION("INDEX(SPLIT(A100, ""/""), 0, 2)"),"generated")</f>
        <v>generated</v>
      </c>
      <c r="J100" s="2" t="b">
        <f t="shared" si="1"/>
        <v>1</v>
      </c>
    </row>
    <row r="101">
      <c r="A101" s="1" t="s">
        <v>2309</v>
      </c>
      <c r="B101" s="3">
        <v>340.0</v>
      </c>
      <c r="C101" s="3">
        <v>60.0</v>
      </c>
      <c r="D101" s="3">
        <v>1.0</v>
      </c>
      <c r="E101" s="3">
        <v>0.0</v>
      </c>
      <c r="F101" s="3">
        <v>0.0</v>
      </c>
      <c r="G101" s="3">
        <v>0.0</v>
      </c>
      <c r="H101" s="3">
        <v>0.0</v>
      </c>
      <c r="I101" s="2" t="str">
        <f>IFERROR(__xludf.DUMMYFUNCTION("INDEX(SPLIT(A101, ""/""), 0, 2)"),"generated")</f>
        <v>generated</v>
      </c>
      <c r="J101" s="2" t="b">
        <f t="shared" si="1"/>
        <v>0</v>
      </c>
    </row>
    <row r="102">
      <c r="A102" s="1" t="s">
        <v>58</v>
      </c>
      <c r="B102" s="3">
        <v>6.0</v>
      </c>
      <c r="C102" s="3">
        <v>60.0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2" t="str">
        <f>IFERROR(__xludf.DUMMYFUNCTION("INDEX(SPLIT(A102, ""/""), 0, 2)"),"generated")</f>
        <v>generated</v>
      </c>
      <c r="J102" s="2" t="b">
        <f t="shared" si="1"/>
        <v>0</v>
      </c>
    </row>
    <row r="103">
      <c r="A103" s="1" t="s">
        <v>59</v>
      </c>
      <c r="B103" s="3">
        <v>601.0</v>
      </c>
      <c r="C103" s="3">
        <v>60.0</v>
      </c>
      <c r="D103" s="3">
        <v>11.0</v>
      </c>
      <c r="E103" s="3">
        <v>8.0</v>
      </c>
      <c r="F103" s="3">
        <v>0.0</v>
      </c>
      <c r="G103" s="3">
        <v>4.0</v>
      </c>
      <c r="H103" s="3">
        <v>1.0</v>
      </c>
      <c r="I103" s="2" t="str">
        <f>IFERROR(__xludf.DUMMYFUNCTION("INDEX(SPLIT(A103, ""/""), 0, 2)"),"generated")</f>
        <v>generated</v>
      </c>
      <c r="J103" s="2" t="b">
        <f t="shared" si="1"/>
        <v>1</v>
      </c>
    </row>
    <row r="104">
      <c r="A104" s="1" t="s">
        <v>2310</v>
      </c>
      <c r="B104" s="3">
        <v>495.0</v>
      </c>
      <c r="C104" s="3">
        <v>60.0</v>
      </c>
      <c r="D104" s="3">
        <v>2.0</v>
      </c>
      <c r="E104" s="3">
        <v>0.0</v>
      </c>
      <c r="F104" s="3">
        <v>2.0</v>
      </c>
      <c r="G104" s="3">
        <v>0.0</v>
      </c>
      <c r="H104" s="3">
        <v>0.0</v>
      </c>
      <c r="I104" s="2" t="str">
        <f>IFERROR(__xludf.DUMMYFUNCTION("INDEX(SPLIT(A104, ""/""), 0, 2)"),"generated")</f>
        <v>generated</v>
      </c>
      <c r="J104" s="2" t="b">
        <f t="shared" si="1"/>
        <v>0</v>
      </c>
    </row>
    <row r="105">
      <c r="A105" s="1" t="s">
        <v>2311</v>
      </c>
      <c r="B105" s="3">
        <v>900.0</v>
      </c>
      <c r="C105" s="3">
        <v>60.0</v>
      </c>
      <c r="D105" s="3">
        <v>3.0</v>
      </c>
      <c r="E105" s="3">
        <v>0.0</v>
      </c>
      <c r="F105" s="3">
        <v>1.0</v>
      </c>
      <c r="G105" s="3">
        <v>0.0</v>
      </c>
      <c r="H105" s="3">
        <v>0.0</v>
      </c>
      <c r="I105" s="2" t="str">
        <f>IFERROR(__xludf.DUMMYFUNCTION("INDEX(SPLIT(A105, ""/""), 0, 2)"),"generated")</f>
        <v>generated</v>
      </c>
      <c r="J105" s="2" t="b">
        <f t="shared" si="1"/>
        <v>0</v>
      </c>
    </row>
    <row r="106">
      <c r="A106" s="1" t="s">
        <v>60</v>
      </c>
      <c r="B106" s="3">
        <v>2000.0</v>
      </c>
      <c r="C106" s="3">
        <v>60.0</v>
      </c>
      <c r="D106" s="3">
        <v>130.0</v>
      </c>
      <c r="E106" s="3">
        <v>94.0</v>
      </c>
      <c r="F106" s="3">
        <v>1.0</v>
      </c>
      <c r="G106" s="3">
        <v>20.0</v>
      </c>
      <c r="H106" s="3">
        <v>5.0</v>
      </c>
      <c r="I106" s="2" t="str">
        <f>IFERROR(__xludf.DUMMYFUNCTION("INDEX(SPLIT(A106, ""/""), 0, 2)"),"generated")</f>
        <v>generated</v>
      </c>
      <c r="J106" s="2" t="b">
        <f t="shared" si="1"/>
        <v>1</v>
      </c>
    </row>
    <row r="107">
      <c r="A107" s="1" t="s">
        <v>61</v>
      </c>
      <c r="B107" s="3">
        <v>21.0</v>
      </c>
      <c r="C107" s="3">
        <v>60.0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2" t="str">
        <f>IFERROR(__xludf.DUMMYFUNCTION("INDEX(SPLIT(A107, ""/""), 0, 2)"),"generated")</f>
        <v>generated</v>
      </c>
      <c r="J107" s="2" t="b">
        <f t="shared" si="1"/>
        <v>0</v>
      </c>
    </row>
    <row r="108">
      <c r="A108" s="1" t="s">
        <v>2312</v>
      </c>
      <c r="B108" s="3">
        <v>500500.0</v>
      </c>
      <c r="C108" s="3">
        <v>60.0</v>
      </c>
      <c r="D108" s="3">
        <v>166.0</v>
      </c>
      <c r="E108" s="3">
        <v>10151.0</v>
      </c>
      <c r="F108" s="3">
        <v>313.0</v>
      </c>
      <c r="G108" s="3">
        <v>155.0</v>
      </c>
      <c r="H108" s="3">
        <v>146.0</v>
      </c>
      <c r="I108" s="2" t="str">
        <f>IFERROR(__xludf.DUMMYFUNCTION("INDEX(SPLIT(A108, ""/""), 0, 2)"),"generated")</f>
        <v>generated</v>
      </c>
      <c r="J108" s="2" t="b">
        <f t="shared" si="1"/>
        <v>1</v>
      </c>
    </row>
    <row r="109">
      <c r="A109" s="1" t="s">
        <v>2313</v>
      </c>
      <c r="B109" s="3">
        <v>9.0</v>
      </c>
      <c r="C109" s="3">
        <v>60.0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2" t="str">
        <f>IFERROR(__xludf.DUMMYFUNCTION("INDEX(SPLIT(A109, ""/""), 0, 2)"),"generated")</f>
        <v>generated</v>
      </c>
      <c r="J109" s="2" t="b">
        <f t="shared" si="1"/>
        <v>0</v>
      </c>
    </row>
    <row r="110">
      <c r="A110" s="1" t="s">
        <v>62</v>
      </c>
      <c r="B110" s="3">
        <v>6001.0</v>
      </c>
      <c r="C110" s="3">
        <v>60.0</v>
      </c>
      <c r="D110" s="3">
        <v>1200.0</v>
      </c>
      <c r="E110" s="3">
        <v>866.0</v>
      </c>
      <c r="F110" s="3">
        <v>5.0</v>
      </c>
      <c r="G110" s="3">
        <v>74.0</v>
      </c>
      <c r="H110" s="3">
        <v>17.0</v>
      </c>
      <c r="I110" s="2" t="str">
        <f>IFERROR(__xludf.DUMMYFUNCTION("INDEX(SPLIT(A110, ""/""), 0, 2)"),"generated")</f>
        <v>generated</v>
      </c>
      <c r="J110" s="2" t="b">
        <f t="shared" si="1"/>
        <v>1</v>
      </c>
    </row>
    <row r="111">
      <c r="A111" s="1" t="s">
        <v>63</v>
      </c>
      <c r="B111" s="3">
        <v>600.0</v>
      </c>
      <c r="C111" s="3">
        <v>60.0</v>
      </c>
      <c r="D111" s="3">
        <v>11.0</v>
      </c>
      <c r="E111" s="3">
        <v>8.0</v>
      </c>
      <c r="F111" s="3">
        <v>0.0</v>
      </c>
      <c r="G111" s="3">
        <v>4.0</v>
      </c>
      <c r="H111" s="3">
        <v>1.0</v>
      </c>
      <c r="I111" s="2" t="str">
        <f>IFERROR(__xludf.DUMMYFUNCTION("INDEX(SPLIT(A111, ""/""), 0, 2)"),"generated")</f>
        <v>generated</v>
      </c>
      <c r="J111" s="2" t="b">
        <f t="shared" si="1"/>
        <v>1</v>
      </c>
    </row>
    <row r="112">
      <c r="A112" s="1" t="s">
        <v>64</v>
      </c>
      <c r="B112" s="3">
        <v>61.0</v>
      </c>
      <c r="C112" s="3">
        <v>60.0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2" t="str">
        <f>IFERROR(__xludf.DUMMYFUNCTION("INDEX(SPLIT(A112, ""/""), 0, 2)"),"generated")</f>
        <v>generated</v>
      </c>
      <c r="J112" s="2" t="b">
        <f t="shared" si="1"/>
        <v>0</v>
      </c>
    </row>
    <row r="113">
      <c r="A113" s="1" t="s">
        <v>2314</v>
      </c>
      <c r="B113" s="3">
        <v>1002000.0</v>
      </c>
      <c r="C113" s="3">
        <v>60.0</v>
      </c>
      <c r="D113" s="3" t="s">
        <v>28</v>
      </c>
      <c r="E113" s="3">
        <v>27828.0</v>
      </c>
      <c r="F113" s="3">
        <v>28287.0</v>
      </c>
      <c r="G113" s="3">
        <v>484.0</v>
      </c>
      <c r="H113" s="3">
        <v>435.0</v>
      </c>
      <c r="I113" s="2" t="str">
        <f>IFERROR(__xludf.DUMMYFUNCTION("INDEX(SPLIT(A113, ""/""), 0, 2)"),"generated")</f>
        <v>generated</v>
      </c>
      <c r="J113" s="2" t="b">
        <f t="shared" si="1"/>
        <v>1</v>
      </c>
    </row>
    <row r="114">
      <c r="A114" s="1" t="s">
        <v>65</v>
      </c>
      <c r="B114" s="3">
        <v>2001.0</v>
      </c>
      <c r="C114" s="3">
        <v>60.0</v>
      </c>
      <c r="D114" s="3">
        <v>130.0</v>
      </c>
      <c r="E114" s="3">
        <v>1.0</v>
      </c>
      <c r="F114" s="3">
        <v>4.0</v>
      </c>
      <c r="G114" s="3">
        <v>19.0</v>
      </c>
      <c r="H114" s="3">
        <v>0.0</v>
      </c>
      <c r="I114" s="2" t="str">
        <f>IFERROR(__xludf.DUMMYFUNCTION("INDEX(SPLIT(A114, ""/""), 0, 2)"),"generated")</f>
        <v>generated</v>
      </c>
      <c r="J114" s="2" t="b">
        <f t="shared" si="1"/>
        <v>1</v>
      </c>
    </row>
    <row r="115">
      <c r="A115" s="1" t="s">
        <v>66</v>
      </c>
      <c r="B115" s="3">
        <v>6.0</v>
      </c>
      <c r="C115" s="3">
        <v>60.0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2" t="str">
        <f>IFERROR(__xludf.DUMMYFUNCTION("INDEX(SPLIT(A115, ""/""), 0, 2)"),"generated")</f>
        <v>generated</v>
      </c>
      <c r="J115" s="2" t="b">
        <f t="shared" si="1"/>
        <v>0</v>
      </c>
    </row>
    <row r="116">
      <c r="A116" s="1" t="s">
        <v>2315</v>
      </c>
      <c r="B116" s="3">
        <v>930.0</v>
      </c>
      <c r="C116" s="3">
        <v>60.0</v>
      </c>
      <c r="D116" s="3">
        <v>3.0</v>
      </c>
      <c r="E116" s="3">
        <v>0.0</v>
      </c>
      <c r="F116" s="3">
        <v>1.0</v>
      </c>
      <c r="G116" s="3">
        <v>0.0</v>
      </c>
      <c r="H116" s="3">
        <v>0.0</v>
      </c>
      <c r="I116" s="2" t="str">
        <f>IFERROR(__xludf.DUMMYFUNCTION("INDEX(SPLIT(A116, ""/""), 0, 2)"),"generated")</f>
        <v>generated</v>
      </c>
      <c r="J116" s="2" t="b">
        <f t="shared" si="1"/>
        <v>0</v>
      </c>
    </row>
    <row r="117">
      <c r="A117" s="1" t="s">
        <v>2316</v>
      </c>
      <c r="B117" s="3">
        <v>3310.0</v>
      </c>
      <c r="C117" s="3">
        <v>60.0</v>
      </c>
      <c r="D117" s="3">
        <v>61.0</v>
      </c>
      <c r="E117" s="3">
        <v>2.0</v>
      </c>
      <c r="F117" s="3">
        <v>3.0</v>
      </c>
      <c r="G117" s="3">
        <v>12.0</v>
      </c>
      <c r="H117" s="3">
        <v>1.0</v>
      </c>
      <c r="I117" s="2" t="str">
        <f>IFERROR(__xludf.DUMMYFUNCTION("INDEX(SPLIT(A117, ""/""), 0, 2)"),"generated")</f>
        <v>generated</v>
      </c>
      <c r="J117" s="2" t="b">
        <f t="shared" si="1"/>
        <v>1</v>
      </c>
    </row>
    <row r="118">
      <c r="A118" s="1" t="s">
        <v>2317</v>
      </c>
      <c r="B118" s="3">
        <v>10300.0</v>
      </c>
      <c r="C118" s="3">
        <v>60.0</v>
      </c>
      <c r="D118" s="3">
        <v>125.0</v>
      </c>
      <c r="E118" s="3">
        <v>30.0</v>
      </c>
      <c r="F118" s="3">
        <v>32.0</v>
      </c>
      <c r="G118" s="3">
        <v>4.0</v>
      </c>
      <c r="H118" s="3">
        <v>3.0</v>
      </c>
      <c r="I118" s="2" t="str">
        <f>IFERROR(__xludf.DUMMYFUNCTION("INDEX(SPLIT(A118, ""/""), 0, 2)"),"generated")</f>
        <v>generated</v>
      </c>
      <c r="J118" s="2" t="b">
        <f t="shared" si="1"/>
        <v>1</v>
      </c>
    </row>
    <row r="119">
      <c r="A119" s="1" t="s">
        <v>2318</v>
      </c>
      <c r="B119" s="3">
        <v>43.0</v>
      </c>
      <c r="C119" s="3">
        <v>60.0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2" t="str">
        <f>IFERROR(__xludf.DUMMYFUNCTION("INDEX(SPLIT(A119, ""/""), 0, 2)"),"generated")</f>
        <v>generated</v>
      </c>
      <c r="J119" s="2" t="b">
        <f t="shared" si="1"/>
        <v>0</v>
      </c>
    </row>
    <row r="120">
      <c r="A120" s="1" t="s">
        <v>2319</v>
      </c>
      <c r="B120" s="3">
        <v>340.0</v>
      </c>
      <c r="C120" s="3">
        <v>60.0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2" t="str">
        <f>IFERROR(__xludf.DUMMYFUNCTION("INDEX(SPLIT(A120, ""/""), 0, 2)"),"generated")</f>
        <v>generated</v>
      </c>
      <c r="J120" s="2" t="b">
        <f t="shared" si="1"/>
        <v>0</v>
      </c>
    </row>
    <row r="121">
      <c r="A121" s="1" t="s">
        <v>2320</v>
      </c>
      <c r="B121" s="3">
        <v>3320.0</v>
      </c>
      <c r="C121" s="3">
        <v>60.0</v>
      </c>
      <c r="D121" s="3">
        <v>70.0</v>
      </c>
      <c r="E121" s="3">
        <v>24.0</v>
      </c>
      <c r="F121" s="3">
        <v>24.0</v>
      </c>
      <c r="G121" s="3">
        <v>1.0</v>
      </c>
      <c r="H121" s="3">
        <v>1.0</v>
      </c>
      <c r="I121" s="2" t="str">
        <f>IFERROR(__xludf.DUMMYFUNCTION("INDEX(SPLIT(A121, ""/""), 0, 2)"),"generated")</f>
        <v>generated</v>
      </c>
      <c r="J121" s="2" t="b">
        <f t="shared" si="1"/>
        <v>1</v>
      </c>
    </row>
    <row r="122">
      <c r="A122" s="1" t="s">
        <v>2321</v>
      </c>
      <c r="B122" s="3">
        <v>9.0</v>
      </c>
      <c r="C122" s="3">
        <v>60.0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2" t="str">
        <f>IFERROR(__xludf.DUMMYFUNCTION("INDEX(SPLIT(A122, ""/""), 0, 2)"),"generated")</f>
        <v>generated</v>
      </c>
      <c r="J122" s="2" t="b">
        <f t="shared" si="1"/>
        <v>0</v>
      </c>
    </row>
    <row r="123">
      <c r="A123" s="1" t="s">
        <v>67</v>
      </c>
      <c r="B123" s="3">
        <v>21.0</v>
      </c>
      <c r="C123" s="3">
        <v>60.0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2" t="str">
        <f>IFERROR(__xludf.DUMMYFUNCTION("INDEX(SPLIT(A123, ""/""), 0, 2)"),"generated")</f>
        <v>generated</v>
      </c>
      <c r="J123" s="2" t="b">
        <f t="shared" si="1"/>
        <v>0</v>
      </c>
    </row>
    <row r="124">
      <c r="A124" s="1" t="s">
        <v>2322</v>
      </c>
      <c r="B124" s="3">
        <v>465.0</v>
      </c>
      <c r="C124" s="3">
        <v>60.0</v>
      </c>
      <c r="D124" s="3">
        <v>2.0</v>
      </c>
      <c r="E124" s="3">
        <v>0.0</v>
      </c>
      <c r="F124" s="3">
        <v>2.0</v>
      </c>
      <c r="G124" s="3">
        <v>3.0</v>
      </c>
      <c r="H124" s="3">
        <v>0.0</v>
      </c>
      <c r="I124" s="2" t="str">
        <f>IFERROR(__xludf.DUMMYFUNCTION("INDEX(SPLIT(A124, ""/""), 0, 2)"),"generated")</f>
        <v>generated</v>
      </c>
      <c r="J124" s="2" t="b">
        <f t="shared" si="1"/>
        <v>0</v>
      </c>
    </row>
    <row r="125">
      <c r="A125" s="1" t="s">
        <v>68</v>
      </c>
      <c r="B125" s="3">
        <v>6001.0</v>
      </c>
      <c r="C125" s="3">
        <v>60.0</v>
      </c>
      <c r="D125" s="3">
        <v>1199.0</v>
      </c>
      <c r="E125" s="3">
        <v>4.0</v>
      </c>
      <c r="F125" s="3">
        <v>17.0</v>
      </c>
      <c r="G125" s="3">
        <v>74.0</v>
      </c>
      <c r="H125" s="3">
        <v>3.0</v>
      </c>
      <c r="I125" s="2" t="str">
        <f>IFERROR(__xludf.DUMMYFUNCTION("INDEX(SPLIT(A125, ""/""), 0, 2)"),"generated")</f>
        <v>generated</v>
      </c>
      <c r="J125" s="2" t="b">
        <f t="shared" si="1"/>
        <v>1</v>
      </c>
    </row>
    <row r="126">
      <c r="A126" s="1" t="s">
        <v>2323</v>
      </c>
      <c r="B126" s="3">
        <v>370.0</v>
      </c>
      <c r="C126" s="3">
        <v>60.0</v>
      </c>
      <c r="D126" s="3">
        <v>1.0</v>
      </c>
      <c r="E126" s="3">
        <v>0.0</v>
      </c>
      <c r="F126" s="3">
        <v>0.0</v>
      </c>
      <c r="G126" s="3">
        <v>0.0</v>
      </c>
      <c r="H126" s="3">
        <v>0.0</v>
      </c>
      <c r="I126" s="2" t="str">
        <f>IFERROR(__xludf.DUMMYFUNCTION("INDEX(SPLIT(A126, ""/""), 0, 2)"),"generated")</f>
        <v>generated</v>
      </c>
      <c r="J126" s="2" t="b">
        <f t="shared" si="1"/>
        <v>0</v>
      </c>
    </row>
    <row r="127">
      <c r="A127" s="1" t="s">
        <v>2324</v>
      </c>
      <c r="B127" s="3">
        <v>90000.0</v>
      </c>
      <c r="C127" s="3">
        <v>60.0</v>
      </c>
      <c r="D127" s="3">
        <v>27882.0</v>
      </c>
      <c r="E127" s="3">
        <v>407.0</v>
      </c>
      <c r="F127" s="3">
        <v>2399.0</v>
      </c>
      <c r="G127" s="3">
        <v>78.0</v>
      </c>
      <c r="H127" s="3">
        <v>35.0</v>
      </c>
      <c r="I127" s="2" t="str">
        <f>IFERROR(__xludf.DUMMYFUNCTION("INDEX(SPLIT(A127, ""/""), 0, 2)"),"generated")</f>
        <v>generated</v>
      </c>
      <c r="J127" s="2" t="b">
        <f t="shared" si="1"/>
        <v>1</v>
      </c>
    </row>
    <row r="128">
      <c r="A128" s="1" t="s">
        <v>2325</v>
      </c>
      <c r="B128" s="3">
        <v>5050.0</v>
      </c>
      <c r="C128" s="3">
        <v>60.0</v>
      </c>
      <c r="D128" s="3">
        <v>187.0</v>
      </c>
      <c r="E128" s="3">
        <v>2.0</v>
      </c>
      <c r="F128" s="3">
        <v>263.0</v>
      </c>
      <c r="G128" s="3">
        <v>64.0</v>
      </c>
      <c r="H128" s="3">
        <v>2.0</v>
      </c>
      <c r="I128" s="2" t="str">
        <f>IFERROR(__xludf.DUMMYFUNCTION("INDEX(SPLIT(A128, ""/""), 0, 2)"),"generated")</f>
        <v>generated</v>
      </c>
      <c r="J128" s="2" t="b">
        <f t="shared" si="1"/>
        <v>1</v>
      </c>
    </row>
    <row r="129">
      <c r="A129" s="1" t="s">
        <v>69</v>
      </c>
      <c r="B129" s="3">
        <v>6.0</v>
      </c>
      <c r="C129" s="3">
        <v>60.0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2" t="str">
        <f>IFERROR(__xludf.DUMMYFUNCTION("INDEX(SPLIT(A129, ""/""), 0, 2)"),"generated")</f>
        <v>generated</v>
      </c>
      <c r="J129" s="2" t="b">
        <f t="shared" si="1"/>
        <v>0</v>
      </c>
    </row>
    <row r="130">
      <c r="A130" s="1" t="s">
        <v>70</v>
      </c>
      <c r="B130" s="3">
        <v>20001.0</v>
      </c>
      <c r="C130" s="3">
        <v>60.0</v>
      </c>
      <c r="D130" s="3">
        <v>13855.0</v>
      </c>
      <c r="E130" s="3">
        <v>16.0</v>
      </c>
      <c r="F130" s="3">
        <v>96.0</v>
      </c>
      <c r="G130" s="3">
        <v>303.0</v>
      </c>
      <c r="H130" s="3">
        <v>8.0</v>
      </c>
      <c r="I130" s="2" t="str">
        <f>IFERROR(__xludf.DUMMYFUNCTION("INDEX(SPLIT(A130, ""/""), 0, 2)"),"generated")</f>
        <v>generated</v>
      </c>
      <c r="J130" s="2" t="b">
        <f t="shared" si="1"/>
        <v>1</v>
      </c>
    </row>
    <row r="131">
      <c r="A131" s="1" t="s">
        <v>2326</v>
      </c>
      <c r="B131" s="3">
        <v>1210.0</v>
      </c>
      <c r="C131" s="3">
        <v>60.0</v>
      </c>
      <c r="D131" s="3">
        <v>8.0</v>
      </c>
      <c r="E131" s="3">
        <v>0.0</v>
      </c>
      <c r="F131" s="3">
        <v>1.0</v>
      </c>
      <c r="G131" s="3">
        <v>1.0</v>
      </c>
      <c r="H131" s="3">
        <v>0.0</v>
      </c>
      <c r="I131" s="2" t="str">
        <f>IFERROR(__xludf.DUMMYFUNCTION("INDEX(SPLIT(A131, ""/""), 0, 2)"),"generated")</f>
        <v>generated</v>
      </c>
      <c r="J131" s="2" t="b">
        <f t="shared" si="1"/>
        <v>0</v>
      </c>
    </row>
    <row r="132">
      <c r="A132" s="1" t="s">
        <v>71</v>
      </c>
      <c r="B132" s="3">
        <v>20.0</v>
      </c>
      <c r="C132" s="3">
        <v>60.0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2" t="str">
        <f>IFERROR(__xludf.DUMMYFUNCTION("INDEX(SPLIT(A132, ""/""), 0, 2)"),"generated")</f>
        <v>generated</v>
      </c>
      <c r="J132" s="2" t="b">
        <f t="shared" si="1"/>
        <v>0</v>
      </c>
    </row>
    <row r="133">
      <c r="A133" s="1" t="s">
        <v>2327</v>
      </c>
      <c r="B133" s="3">
        <v>60000.0</v>
      </c>
      <c r="C133" s="3">
        <v>60.0</v>
      </c>
      <c r="D133" s="3" t="s">
        <v>28</v>
      </c>
      <c r="E133" s="3" t="s">
        <v>28</v>
      </c>
      <c r="F133" s="3">
        <v>40.0</v>
      </c>
      <c r="G133" s="3">
        <v>1126.0</v>
      </c>
      <c r="H133" s="3">
        <v>233.0</v>
      </c>
      <c r="I133" s="2" t="str">
        <f>IFERROR(__xludf.DUMMYFUNCTION("INDEX(SPLIT(A133, ""/""), 0, 2)"),"generated")</f>
        <v>generated</v>
      </c>
      <c r="J133" s="2" t="b">
        <f t="shared" si="1"/>
        <v>1</v>
      </c>
    </row>
    <row r="134">
      <c r="A134" s="1" t="s">
        <v>2328</v>
      </c>
      <c r="B134" s="3">
        <v>465.0</v>
      </c>
      <c r="C134" s="3">
        <v>60.0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2" t="str">
        <f>IFERROR(__xludf.DUMMYFUNCTION("INDEX(SPLIT(A134, ""/""), 0, 2)"),"generated")</f>
        <v>generated</v>
      </c>
      <c r="J134" s="2" t="b">
        <f t="shared" si="1"/>
        <v>0</v>
      </c>
    </row>
    <row r="135">
      <c r="A135" s="1" t="s">
        <v>72</v>
      </c>
      <c r="B135" s="3">
        <v>7.0</v>
      </c>
      <c r="C135" s="3">
        <v>60.0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2" t="str">
        <f>IFERROR(__xludf.DUMMYFUNCTION("INDEX(SPLIT(A135, ""/""), 0, 2)"),"generated")</f>
        <v>generated</v>
      </c>
      <c r="J135" s="2" t="b">
        <f t="shared" si="1"/>
        <v>0</v>
      </c>
    </row>
    <row r="136">
      <c r="A136" s="1" t="s">
        <v>73</v>
      </c>
      <c r="B136" s="3">
        <v>60.0</v>
      </c>
      <c r="C136" s="3">
        <v>60.0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2" t="str">
        <f>IFERROR(__xludf.DUMMYFUNCTION("INDEX(SPLIT(A136, ""/""), 0, 2)"),"generated")</f>
        <v>generated</v>
      </c>
      <c r="J136" s="2" t="b">
        <f t="shared" si="1"/>
        <v>0</v>
      </c>
    </row>
    <row r="137">
      <c r="A137" s="1" t="s">
        <v>74</v>
      </c>
      <c r="B137" s="3">
        <v>20000.0</v>
      </c>
      <c r="C137" s="3">
        <v>60.0</v>
      </c>
      <c r="D137" s="3">
        <v>13865.0</v>
      </c>
      <c r="E137" s="3">
        <v>16.0</v>
      </c>
      <c r="F137" s="3">
        <v>97.0</v>
      </c>
      <c r="G137" s="3">
        <v>306.0</v>
      </c>
      <c r="H137" s="3">
        <v>15.0</v>
      </c>
      <c r="I137" s="2" t="str">
        <f>IFERROR(__xludf.DUMMYFUNCTION("INDEX(SPLIT(A137, ""/""), 0, 2)"),"generated")</f>
        <v>generated</v>
      </c>
      <c r="J137" s="2" t="b">
        <f t="shared" si="1"/>
        <v>1</v>
      </c>
    </row>
    <row r="138">
      <c r="A138" s="1" t="s">
        <v>2329</v>
      </c>
      <c r="B138" s="3">
        <v>501500.0</v>
      </c>
      <c r="C138" s="3">
        <v>60.0</v>
      </c>
      <c r="D138" s="3" t="s">
        <v>28</v>
      </c>
      <c r="E138" s="3">
        <v>139.0</v>
      </c>
      <c r="F138" s="3" t="s">
        <v>28</v>
      </c>
      <c r="G138" s="3">
        <v>142.0</v>
      </c>
      <c r="H138" s="3">
        <v>113.0</v>
      </c>
      <c r="I138" s="2" t="str">
        <f>IFERROR(__xludf.DUMMYFUNCTION("INDEX(SPLIT(A138, ""/""), 0, 2)"),"generated")</f>
        <v>generated</v>
      </c>
      <c r="J138" s="2" t="b">
        <f t="shared" si="1"/>
        <v>1</v>
      </c>
    </row>
    <row r="139">
      <c r="A139" s="1" t="s">
        <v>75</v>
      </c>
      <c r="B139" s="3">
        <v>6000.0</v>
      </c>
      <c r="C139" s="3">
        <v>60.0</v>
      </c>
      <c r="D139" s="3">
        <v>1196.0</v>
      </c>
      <c r="E139" s="3">
        <v>861.0</v>
      </c>
      <c r="F139" s="3">
        <v>5.0</v>
      </c>
      <c r="G139" s="3">
        <v>75.0</v>
      </c>
      <c r="H139" s="3">
        <v>18.0</v>
      </c>
      <c r="I139" s="2" t="str">
        <f>IFERROR(__xludf.DUMMYFUNCTION("INDEX(SPLIT(A139, ""/""), 0, 2)"),"generated")</f>
        <v>generated</v>
      </c>
      <c r="J139" s="2" t="b">
        <f t="shared" si="1"/>
        <v>1</v>
      </c>
    </row>
    <row r="140">
      <c r="A140" s="1" t="s">
        <v>2330</v>
      </c>
      <c r="B140" s="3">
        <v>495.0</v>
      </c>
      <c r="C140" s="3">
        <v>60.0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2" t="str">
        <f>IFERROR(__xludf.DUMMYFUNCTION("INDEX(SPLIT(A140, ""/""), 0, 2)"),"generated")</f>
        <v>generated</v>
      </c>
      <c r="J140" s="2" t="b">
        <f t="shared" si="1"/>
        <v>0</v>
      </c>
    </row>
    <row r="141">
      <c r="A141" s="1" t="s">
        <v>2331</v>
      </c>
      <c r="B141" s="3">
        <v>200001.0</v>
      </c>
      <c r="C141" s="3">
        <v>60.0</v>
      </c>
      <c r="D141" s="3" t="s">
        <v>28</v>
      </c>
      <c r="E141" s="3">
        <v>193.0</v>
      </c>
      <c r="F141" s="3">
        <v>2844.0</v>
      </c>
      <c r="G141" s="3">
        <v>4388.0</v>
      </c>
      <c r="H141" s="3">
        <v>83.0</v>
      </c>
      <c r="I141" s="2" t="str">
        <f>IFERROR(__xludf.DUMMYFUNCTION("INDEX(SPLIT(A141, ""/""), 0, 2)"),"generated")</f>
        <v>generated</v>
      </c>
      <c r="J141" s="2" t="b">
        <f t="shared" si="1"/>
        <v>1</v>
      </c>
    </row>
    <row r="142">
      <c r="A142" s="1" t="s">
        <v>76</v>
      </c>
      <c r="B142" s="3">
        <v>2001.0</v>
      </c>
      <c r="C142" s="3">
        <v>60.0</v>
      </c>
      <c r="D142" s="3">
        <v>130.0</v>
      </c>
      <c r="E142" s="3">
        <v>94.0</v>
      </c>
      <c r="F142" s="3">
        <v>1.0</v>
      </c>
      <c r="G142" s="3">
        <v>19.0</v>
      </c>
      <c r="H142" s="3">
        <v>5.0</v>
      </c>
      <c r="I142" s="2" t="str">
        <f>IFERROR(__xludf.DUMMYFUNCTION("INDEX(SPLIT(A142, ""/""), 0, 2)"),"generated")</f>
        <v>generated</v>
      </c>
      <c r="J142" s="2" t="b">
        <f t="shared" si="1"/>
        <v>1</v>
      </c>
    </row>
    <row r="143">
      <c r="A143" s="1" t="s">
        <v>2332</v>
      </c>
      <c r="B143" s="3">
        <v>500500.0</v>
      </c>
      <c r="C143" s="3">
        <v>60.0</v>
      </c>
      <c r="D143" s="3" t="s">
        <v>28</v>
      </c>
      <c r="E143" s="3">
        <v>237.0</v>
      </c>
      <c r="F143" s="3" t="s">
        <v>28</v>
      </c>
      <c r="G143" s="3">
        <v>12826.0</v>
      </c>
      <c r="H143" s="3">
        <v>254.0</v>
      </c>
      <c r="I143" s="2" t="str">
        <f>IFERROR(__xludf.DUMMYFUNCTION("INDEX(SPLIT(A143, ""/""), 0, 2)"),"generated")</f>
        <v>generated</v>
      </c>
      <c r="J143" s="2" t="b">
        <f t="shared" si="1"/>
        <v>1</v>
      </c>
    </row>
    <row r="144">
      <c r="A144" s="1" t="s">
        <v>2333</v>
      </c>
      <c r="B144" s="3">
        <v>90600.0</v>
      </c>
      <c r="C144" s="3">
        <v>60.0</v>
      </c>
      <c r="D144" s="3">
        <v>3259.0</v>
      </c>
      <c r="E144" s="3">
        <v>709.0</v>
      </c>
      <c r="F144" s="3">
        <v>736.0</v>
      </c>
      <c r="G144" s="3">
        <v>48.0</v>
      </c>
      <c r="H144" s="3">
        <v>34.0</v>
      </c>
      <c r="I144" s="2" t="str">
        <f>IFERROR(__xludf.DUMMYFUNCTION("INDEX(SPLIT(A144, ""/""), 0, 2)"),"generated")</f>
        <v>generated</v>
      </c>
      <c r="J144" s="2" t="b">
        <f t="shared" si="1"/>
        <v>1</v>
      </c>
    </row>
    <row r="145">
      <c r="A145" s="1" t="s">
        <v>2334</v>
      </c>
      <c r="B145" s="3">
        <v>1003000.0</v>
      </c>
      <c r="C145" s="3">
        <v>60.0</v>
      </c>
      <c r="D145" s="3" t="s">
        <v>28</v>
      </c>
      <c r="E145" s="3">
        <v>27794.0</v>
      </c>
      <c r="F145" s="3">
        <v>27290.0</v>
      </c>
      <c r="G145" s="3">
        <v>382.0</v>
      </c>
      <c r="H145" s="3">
        <v>364.0</v>
      </c>
      <c r="I145" s="2" t="str">
        <f>IFERROR(__xludf.DUMMYFUNCTION("INDEX(SPLIT(A145, ""/""), 0, 2)"),"generated")</f>
        <v>generated</v>
      </c>
      <c r="J145" s="2" t="b">
        <f t="shared" si="1"/>
        <v>1</v>
      </c>
    </row>
    <row r="146">
      <c r="A146" s="1" t="s">
        <v>77</v>
      </c>
      <c r="B146" s="3">
        <v>61.0</v>
      </c>
      <c r="C146" s="3">
        <v>60.0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2" t="str">
        <f>IFERROR(__xludf.DUMMYFUNCTION("INDEX(SPLIT(A146, ""/""), 0, 2)"),"generated")</f>
        <v>generated</v>
      </c>
      <c r="J146" s="2" t="b">
        <f t="shared" si="1"/>
        <v>0</v>
      </c>
    </row>
    <row r="147">
      <c r="A147" s="1" t="s">
        <v>2335</v>
      </c>
      <c r="B147" s="3">
        <v>60001.0</v>
      </c>
      <c r="C147" s="3">
        <v>60.0</v>
      </c>
      <c r="D147" s="3" t="s">
        <v>28</v>
      </c>
      <c r="E147" s="3" t="s">
        <v>28</v>
      </c>
      <c r="F147" s="3">
        <v>50.0</v>
      </c>
      <c r="G147" s="3">
        <v>1134.0</v>
      </c>
      <c r="H147" s="3">
        <v>246.0</v>
      </c>
      <c r="I147" s="2" t="str">
        <f>IFERROR(__xludf.DUMMYFUNCTION("INDEX(SPLIT(A147, ""/""), 0, 2)"),"generated")</f>
        <v>generated</v>
      </c>
      <c r="J147" s="2" t="b">
        <f t="shared" si="1"/>
        <v>1</v>
      </c>
    </row>
    <row r="148">
      <c r="A148" s="1" t="s">
        <v>2336</v>
      </c>
      <c r="B148" s="3">
        <v>10100.0</v>
      </c>
      <c r="C148" s="3">
        <v>60.0</v>
      </c>
      <c r="D148" s="3">
        <v>370.0</v>
      </c>
      <c r="E148" s="3">
        <v>19.0</v>
      </c>
      <c r="F148" s="3">
        <v>39.0</v>
      </c>
      <c r="G148" s="3">
        <v>3.0</v>
      </c>
      <c r="H148" s="3">
        <v>2.0</v>
      </c>
      <c r="I148" s="2" t="str">
        <f>IFERROR(__xludf.DUMMYFUNCTION("INDEX(SPLIT(A148, ""/""), 0, 2)"),"generated")</f>
        <v>generated</v>
      </c>
      <c r="J148" s="2" t="b">
        <f t="shared" si="1"/>
        <v>1</v>
      </c>
    </row>
    <row r="149">
      <c r="A149" s="1" t="s">
        <v>2337</v>
      </c>
      <c r="B149" s="3">
        <v>200000.0</v>
      </c>
      <c r="C149" s="3">
        <v>60.0</v>
      </c>
      <c r="D149" s="3" t="s">
        <v>28</v>
      </c>
      <c r="E149" s="3">
        <v>114.0</v>
      </c>
      <c r="F149" s="3">
        <v>2724.0</v>
      </c>
      <c r="G149" s="3">
        <v>4386.0</v>
      </c>
      <c r="H149" s="3">
        <v>83.0</v>
      </c>
      <c r="I149" s="2" t="str">
        <f>IFERROR(__xludf.DUMMYFUNCTION("INDEX(SPLIT(A149, ""/""), 0, 2)"),"generated")</f>
        <v>generated</v>
      </c>
      <c r="J149" s="2" t="b">
        <f t="shared" si="1"/>
        <v>1</v>
      </c>
    </row>
    <row r="150">
      <c r="A150" s="1" t="s">
        <v>78</v>
      </c>
      <c r="B150" s="3">
        <v>8.0</v>
      </c>
      <c r="C150" s="3">
        <v>60.0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2" t="str">
        <f>IFERROR(__xludf.DUMMYFUNCTION("INDEX(SPLIT(A150, ""/""), 0, 2)"),"handwritten")</f>
        <v>handwritten</v>
      </c>
      <c r="J150" s="2" t="b">
        <f t="shared" si="1"/>
        <v>0</v>
      </c>
    </row>
    <row r="151">
      <c r="A151" s="1" t="s">
        <v>79</v>
      </c>
      <c r="B151" s="3">
        <v>0.0</v>
      </c>
      <c r="C151" s="3">
        <v>60.0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2" t="str">
        <f>IFERROR(__xludf.DUMMYFUNCTION("INDEX(SPLIT(A151, ""/""), 0, 2)"),"handwritten")</f>
        <v>handwritten</v>
      </c>
      <c r="J151" s="2" t="b">
        <f t="shared" si="1"/>
        <v>0</v>
      </c>
    </row>
    <row r="152">
      <c r="A152" s="1" t="s">
        <v>2338</v>
      </c>
      <c r="B152" s="3">
        <v>6.0</v>
      </c>
      <c r="C152" s="3">
        <v>60.0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2" t="str">
        <f>IFERROR(__xludf.DUMMYFUNCTION("INDEX(SPLIT(A152, ""/""), 0, 2)"),"handwritten")</f>
        <v>handwritten</v>
      </c>
      <c r="J152" s="2" t="b">
        <f t="shared" si="1"/>
        <v>0</v>
      </c>
    </row>
    <row r="153">
      <c r="A153" s="1" t="s">
        <v>2339</v>
      </c>
      <c r="B153" s="3">
        <v>18.0</v>
      </c>
      <c r="C153" s="3">
        <v>60.0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2" t="str">
        <f>IFERROR(__xludf.DUMMYFUNCTION("INDEX(SPLIT(A153, ""/""), 0, 2)"),"handwritten")</f>
        <v>handwritten</v>
      </c>
      <c r="J153" s="2" t="b">
        <f t="shared" si="1"/>
        <v>0</v>
      </c>
    </row>
    <row r="154">
      <c r="A154" s="1" t="s">
        <v>80</v>
      </c>
      <c r="B154" s="3">
        <v>14.0</v>
      </c>
      <c r="C154" s="3">
        <v>60.0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2" t="str">
        <f>IFERROR(__xludf.DUMMYFUNCTION("INDEX(SPLIT(A154, ""/""), 0, 2)"),"handwritten")</f>
        <v>handwritten</v>
      </c>
      <c r="J154" s="2" t="b">
        <f t="shared" si="1"/>
        <v>0</v>
      </c>
    </row>
    <row r="155">
      <c r="A155" s="1" t="s">
        <v>81</v>
      </c>
      <c r="B155" s="3">
        <v>4.0</v>
      </c>
      <c r="C155" s="3">
        <v>60.0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2" t="str">
        <f>IFERROR(__xludf.DUMMYFUNCTION("INDEX(SPLIT(A155, ""/""), 0, 2)"),"handwritten")</f>
        <v>handwritten</v>
      </c>
      <c r="J155" s="2" t="b">
        <f t="shared" si="1"/>
        <v>0</v>
      </c>
    </row>
    <row r="156">
      <c r="A156" s="1" t="s">
        <v>82</v>
      </c>
      <c r="B156" s="3">
        <v>29.0</v>
      </c>
      <c r="C156" s="3">
        <v>60.0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2" t="str">
        <f>IFERROR(__xludf.DUMMYFUNCTION("INDEX(SPLIT(A156, ""/""), 0, 2)"),"handwritten")</f>
        <v>handwritten</v>
      </c>
      <c r="J156" s="2" t="b">
        <f t="shared" si="1"/>
        <v>0</v>
      </c>
    </row>
    <row r="157">
      <c r="A157" s="1" t="s">
        <v>83</v>
      </c>
      <c r="B157" s="3">
        <v>3.0</v>
      </c>
      <c r="C157" s="3">
        <v>60.0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2" t="str">
        <f>IFERROR(__xludf.DUMMYFUNCTION("INDEX(SPLIT(A157, ""/""), 0, 2)"),"handwritten")</f>
        <v>handwritten</v>
      </c>
      <c r="J157" s="2" t="b">
        <f t="shared" si="1"/>
        <v>0</v>
      </c>
    </row>
    <row r="158">
      <c r="A158" s="1" t="s">
        <v>84</v>
      </c>
      <c r="B158" s="3">
        <v>3.0</v>
      </c>
      <c r="C158" s="3">
        <v>60.0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2" t="str">
        <f>IFERROR(__xludf.DUMMYFUNCTION("INDEX(SPLIT(A158, ""/""), 0, 2)"),"handwritten")</f>
        <v>handwritten</v>
      </c>
      <c r="J158" s="2" t="b">
        <f t="shared" si="1"/>
        <v>0</v>
      </c>
    </row>
    <row r="159">
      <c r="A159" s="1" t="s">
        <v>86</v>
      </c>
      <c r="B159" s="3">
        <v>6.0</v>
      </c>
      <c r="C159" s="3">
        <v>60.0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2" t="str">
        <f>IFERROR(__xludf.DUMMYFUNCTION("INDEX(SPLIT(A159, ""/""), 0, 2)"),"handwritten")</f>
        <v>handwritten</v>
      </c>
      <c r="J159" s="2" t="b">
        <f t="shared" si="1"/>
        <v>0</v>
      </c>
    </row>
    <row r="160">
      <c r="A160" s="1" t="s">
        <v>87</v>
      </c>
      <c r="B160" s="3">
        <v>3.0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2" t="str">
        <f>IFERROR(__xludf.DUMMYFUNCTION("INDEX(SPLIT(A160, ""/""), 0, 2)"),"handwritten")</f>
        <v>handwritten</v>
      </c>
      <c r="J160" s="2" t="b">
        <f t="shared" si="1"/>
        <v>0</v>
      </c>
    </row>
    <row r="161">
      <c r="A161" s="1" t="s">
        <v>2340</v>
      </c>
      <c r="B161" s="3">
        <v>10.0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2" t="str">
        <f>IFERROR(__xludf.DUMMYFUNCTION("INDEX(SPLIT(A161, ""/""), 0, 2)"),"handwritten")</f>
        <v>handwritten</v>
      </c>
      <c r="J161" s="2" t="b">
        <f t="shared" si="1"/>
        <v>0</v>
      </c>
    </row>
    <row r="162">
      <c r="A162" s="1" t="s">
        <v>2341</v>
      </c>
      <c r="B162" s="3">
        <v>14.0</v>
      </c>
      <c r="C162" s="3">
        <v>60.0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2" t="str">
        <f>IFERROR(__xludf.DUMMYFUNCTION("INDEX(SPLIT(A162, ""/""), 0, 2)"),"handwritten")</f>
        <v>handwritten</v>
      </c>
      <c r="J162" s="2" t="b">
        <f t="shared" si="1"/>
        <v>0</v>
      </c>
    </row>
    <row r="163">
      <c r="A163" s="1" t="s">
        <v>88</v>
      </c>
      <c r="B163" s="3">
        <v>3.0</v>
      </c>
      <c r="C163" s="3">
        <v>60.0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2" t="str">
        <f>IFERROR(__xludf.DUMMYFUNCTION("INDEX(SPLIT(A163, ""/""), 0, 2)"),"handwritten")</f>
        <v>handwritten</v>
      </c>
      <c r="J163" s="2" t="b">
        <f t="shared" si="1"/>
        <v>0</v>
      </c>
    </row>
    <row r="164">
      <c r="A164" s="1" t="s">
        <v>89</v>
      </c>
      <c r="B164" s="3">
        <v>7.0</v>
      </c>
      <c r="C164" s="3">
        <v>60.0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2" t="str">
        <f>IFERROR(__xludf.DUMMYFUNCTION("INDEX(SPLIT(A164, ""/""), 0, 2)"),"handwritten")</f>
        <v>handwritten</v>
      </c>
      <c r="J164" s="2" t="b">
        <f t="shared" si="1"/>
        <v>0</v>
      </c>
    </row>
    <row r="165">
      <c r="A165" s="1" t="s">
        <v>90</v>
      </c>
      <c r="B165" s="3">
        <v>5.0</v>
      </c>
      <c r="C165" s="3">
        <v>60.0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2" t="str">
        <f>IFERROR(__xludf.DUMMYFUNCTION("INDEX(SPLIT(A165, ""/""), 0, 2)"),"handwritten")</f>
        <v>handwritten</v>
      </c>
      <c r="J165" s="2" t="b">
        <f t="shared" si="1"/>
        <v>0</v>
      </c>
    </row>
    <row r="166">
      <c r="A166" s="1" t="s">
        <v>91</v>
      </c>
      <c r="B166" s="3">
        <v>6.0</v>
      </c>
      <c r="C166" s="3">
        <v>60.0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2" t="str">
        <f>IFERROR(__xludf.DUMMYFUNCTION("INDEX(SPLIT(A166, ""/""), 0, 2)"),"handwritten")</f>
        <v>handwritten</v>
      </c>
      <c r="J166" s="2" t="b">
        <f t="shared" si="1"/>
        <v>0</v>
      </c>
    </row>
    <row r="167">
      <c r="A167" s="1" t="s">
        <v>2342</v>
      </c>
      <c r="B167" s="3">
        <v>3.0</v>
      </c>
      <c r="C167" s="3">
        <v>60.0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2" t="str">
        <f>IFERROR(__xludf.DUMMYFUNCTION("INDEX(SPLIT(A167, ""/""), 0, 2)"),"handwritten")</f>
        <v>handwritten</v>
      </c>
      <c r="J167" s="2" t="b">
        <f t="shared" si="1"/>
        <v>0</v>
      </c>
    </row>
    <row r="168">
      <c r="A168" s="1" t="s">
        <v>92</v>
      </c>
      <c r="B168" s="3">
        <v>7.0</v>
      </c>
      <c r="C168" s="3">
        <v>60.0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2" t="str">
        <f>IFERROR(__xludf.DUMMYFUNCTION("INDEX(SPLIT(A168, ""/""), 0, 2)"),"handwritten")</f>
        <v>handwritten</v>
      </c>
      <c r="J168" s="2" t="b">
        <f t="shared" si="1"/>
        <v>0</v>
      </c>
    </row>
    <row r="169">
      <c r="A169" s="1" t="s">
        <v>93</v>
      </c>
      <c r="B169" s="3">
        <v>9.0</v>
      </c>
      <c r="C169" s="3">
        <v>60.0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2" t="str">
        <f>IFERROR(__xludf.DUMMYFUNCTION("INDEX(SPLIT(A169, ""/""), 0, 2)"),"handwritten")</f>
        <v>handwritten</v>
      </c>
      <c r="J169" s="2" t="b">
        <f t="shared" si="1"/>
        <v>0</v>
      </c>
    </row>
    <row r="170">
      <c r="A170" s="1" t="s">
        <v>94</v>
      </c>
      <c r="B170" s="3">
        <v>5.0</v>
      </c>
      <c r="C170" s="3">
        <v>60.0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2" t="str">
        <f>IFERROR(__xludf.DUMMYFUNCTION("INDEX(SPLIT(A170, ""/""), 0, 2)"),"handwritten")</f>
        <v>handwritten</v>
      </c>
      <c r="J170" s="2" t="b">
        <f t="shared" si="1"/>
        <v>0</v>
      </c>
    </row>
    <row r="171">
      <c r="A171" s="1" t="s">
        <v>95</v>
      </c>
      <c r="B171" s="3">
        <v>3.0</v>
      </c>
      <c r="C171" s="3">
        <v>60.0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2" t="str">
        <f>IFERROR(__xludf.DUMMYFUNCTION("INDEX(SPLIT(A171, ""/""), 0, 2)"),"handwritten")</f>
        <v>handwritten</v>
      </c>
      <c r="J171" s="2" t="b">
        <f t="shared" si="1"/>
        <v>0</v>
      </c>
    </row>
    <row r="172">
      <c r="A172" s="1" t="s">
        <v>96</v>
      </c>
      <c r="B172" s="3">
        <v>7.0</v>
      </c>
      <c r="C172" s="3">
        <v>60.0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2" t="str">
        <f>IFERROR(__xludf.DUMMYFUNCTION("INDEX(SPLIT(A172, ""/""), 0, 2)"),"handwritten")</f>
        <v>handwritten</v>
      </c>
      <c r="J172" s="2" t="b">
        <f t="shared" si="1"/>
        <v>0</v>
      </c>
    </row>
    <row r="173">
      <c r="A173" s="1" t="s">
        <v>97</v>
      </c>
      <c r="B173" s="3">
        <v>7.0</v>
      </c>
      <c r="C173" s="3">
        <v>60.0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2" t="str">
        <f>IFERROR(__xludf.DUMMYFUNCTION("INDEX(SPLIT(A173, ""/""), 0, 2)"),"handwritten")</f>
        <v>handwritten</v>
      </c>
      <c r="J173" s="2" t="b">
        <f t="shared" si="1"/>
        <v>0</v>
      </c>
    </row>
    <row r="174">
      <c r="A174" s="1" t="s">
        <v>98</v>
      </c>
      <c r="B174" s="3">
        <v>12.0</v>
      </c>
      <c r="C174" s="3">
        <v>60.0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2" t="str">
        <f>IFERROR(__xludf.DUMMYFUNCTION("INDEX(SPLIT(A174, ""/""), 0, 2)"),"handwritten")</f>
        <v>handwritten</v>
      </c>
      <c r="J174" s="2" t="b">
        <f t="shared" si="1"/>
        <v>0</v>
      </c>
    </row>
    <row r="175">
      <c r="A175" s="1" t="s">
        <v>2343</v>
      </c>
      <c r="B175" s="3">
        <v>60000.0</v>
      </c>
      <c r="C175" s="3">
        <v>60.0</v>
      </c>
      <c r="D175" s="3" t="s">
        <v>28</v>
      </c>
      <c r="E175" s="3">
        <v>77.0</v>
      </c>
      <c r="F175" s="3">
        <v>69.0</v>
      </c>
      <c r="G175" s="3">
        <v>405.0</v>
      </c>
      <c r="H175" s="3">
        <v>52.0</v>
      </c>
      <c r="I175" s="2" t="str">
        <f>IFERROR(__xludf.DUMMYFUNCTION("INDEX(SPLIT(A175, ""/""), 0, 2)"),"random")</f>
        <v>random</v>
      </c>
      <c r="J175" s="2" t="b">
        <f t="shared" si="1"/>
        <v>1</v>
      </c>
    </row>
    <row r="176">
      <c r="A176" s="1" t="s">
        <v>2344</v>
      </c>
      <c r="B176" s="3">
        <v>30.0</v>
      </c>
      <c r="C176" s="3">
        <v>60.0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2" t="str">
        <f>IFERROR(__xludf.DUMMYFUNCTION("INDEX(SPLIT(A176, ""/""), 0, 2)"),"random")</f>
        <v>random</v>
      </c>
      <c r="J176" s="2" t="b">
        <f t="shared" si="1"/>
        <v>0</v>
      </c>
    </row>
    <row r="177">
      <c r="A177" s="1" t="s">
        <v>2345</v>
      </c>
      <c r="B177" s="3">
        <v>1100.0</v>
      </c>
      <c r="C177" s="3">
        <v>60.0</v>
      </c>
      <c r="D177" s="3">
        <v>49.0</v>
      </c>
      <c r="E177" s="3">
        <v>1.0</v>
      </c>
      <c r="F177" s="3">
        <v>2.0</v>
      </c>
      <c r="G177" s="3">
        <v>0.0</v>
      </c>
      <c r="H177" s="3">
        <v>0.0</v>
      </c>
      <c r="I177" s="2" t="str">
        <f>IFERROR(__xludf.DUMMYFUNCTION("INDEX(SPLIT(A177, ""/""), 0, 2)"),"random")</f>
        <v>random</v>
      </c>
      <c r="J177" s="2" t="b">
        <f t="shared" si="1"/>
        <v>1</v>
      </c>
    </row>
    <row r="178">
      <c r="A178" s="1" t="s">
        <v>2346</v>
      </c>
      <c r="B178" s="3">
        <v>120000.0</v>
      </c>
      <c r="C178" s="3">
        <v>60.0</v>
      </c>
      <c r="D178" s="3" t="s">
        <v>28</v>
      </c>
      <c r="E178" s="3">
        <v>31663.0</v>
      </c>
      <c r="F178" s="3">
        <v>56603.0</v>
      </c>
      <c r="G178" s="3">
        <v>339.0</v>
      </c>
      <c r="H178" s="3">
        <v>81.0</v>
      </c>
      <c r="I178" s="2" t="str">
        <f>IFERROR(__xludf.DUMMYFUNCTION("INDEX(SPLIT(A178, ""/""), 0, 2)"),"random")</f>
        <v>random</v>
      </c>
      <c r="J178" s="2" t="b">
        <f t="shared" si="1"/>
        <v>1</v>
      </c>
    </row>
    <row r="179">
      <c r="A179" s="1" t="s">
        <v>2347</v>
      </c>
      <c r="B179" s="3">
        <v>272634.0</v>
      </c>
      <c r="C179" s="3">
        <v>60.0</v>
      </c>
      <c r="D179" s="3" t="s">
        <v>28</v>
      </c>
      <c r="E179" s="3">
        <v>12846.0</v>
      </c>
      <c r="F179" s="3">
        <v>36310.0</v>
      </c>
      <c r="G179" s="3">
        <v>95.0</v>
      </c>
      <c r="H179" s="3">
        <v>58.0</v>
      </c>
      <c r="I179" s="2" t="str">
        <f>IFERROR(__xludf.DUMMYFUNCTION("INDEX(SPLIT(A179, ""/""), 0, 2)"),"random")</f>
        <v>random</v>
      </c>
      <c r="J179" s="2" t="b">
        <f t="shared" si="1"/>
        <v>1</v>
      </c>
    </row>
    <row r="180">
      <c r="A180" s="1" t="s">
        <v>2348</v>
      </c>
      <c r="B180" s="3">
        <v>56.0</v>
      </c>
      <c r="C180" s="3">
        <v>60.0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2" t="str">
        <f>IFERROR(__xludf.DUMMYFUNCTION("INDEX(SPLIT(A180, ""/""), 0, 2)"),"random")</f>
        <v>random</v>
      </c>
      <c r="J180" s="2" t="b">
        <f t="shared" si="1"/>
        <v>0</v>
      </c>
    </row>
    <row r="181">
      <c r="A181" s="1" t="s">
        <v>2349</v>
      </c>
      <c r="B181" s="3">
        <v>300.0</v>
      </c>
      <c r="C181" s="3">
        <v>60.0</v>
      </c>
      <c r="D181" s="3">
        <v>6.0</v>
      </c>
      <c r="E181" s="3">
        <v>0.0</v>
      </c>
      <c r="F181" s="3">
        <v>0.0</v>
      </c>
      <c r="G181" s="3">
        <v>0.0</v>
      </c>
      <c r="H181" s="3">
        <v>0.0</v>
      </c>
      <c r="I181" s="2" t="str">
        <f>IFERROR(__xludf.DUMMYFUNCTION("INDEX(SPLIT(A181, ""/""), 0, 2)"),"random")</f>
        <v>random</v>
      </c>
      <c r="J181" s="2" t="b">
        <f t="shared" si="1"/>
        <v>0</v>
      </c>
    </row>
    <row r="182">
      <c r="A182" s="1" t="s">
        <v>2350</v>
      </c>
      <c r="B182" s="3">
        <v>40000.0</v>
      </c>
      <c r="C182" s="3">
        <v>60.0</v>
      </c>
      <c r="D182" s="3" t="s">
        <v>28</v>
      </c>
      <c r="E182" s="3">
        <v>3323.0</v>
      </c>
      <c r="F182" s="3">
        <v>5748.0</v>
      </c>
      <c r="G182" s="3">
        <v>87.0</v>
      </c>
      <c r="H182" s="3">
        <v>19.0</v>
      </c>
      <c r="I182" s="2" t="str">
        <f>IFERROR(__xludf.DUMMYFUNCTION("INDEX(SPLIT(A182, ""/""), 0, 2)"),"random")</f>
        <v>random</v>
      </c>
      <c r="J182" s="2" t="b">
        <f t="shared" si="1"/>
        <v>1</v>
      </c>
    </row>
    <row r="183">
      <c r="A183" s="1" t="s">
        <v>2351</v>
      </c>
      <c r="B183" s="3">
        <v>37.0</v>
      </c>
      <c r="C183" s="3">
        <v>60.0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2" t="str">
        <f>IFERROR(__xludf.DUMMYFUNCTION("INDEX(SPLIT(A183, ""/""), 0, 2)"),"random")</f>
        <v>random</v>
      </c>
      <c r="J183" s="2" t="b">
        <f t="shared" si="1"/>
        <v>0</v>
      </c>
    </row>
    <row r="184">
      <c r="A184" s="1" t="s">
        <v>2352</v>
      </c>
      <c r="B184" s="3">
        <v>200.0</v>
      </c>
      <c r="C184" s="3">
        <v>60.0</v>
      </c>
      <c r="D184" s="3">
        <v>1.0</v>
      </c>
      <c r="E184" s="3">
        <v>0.0</v>
      </c>
      <c r="F184" s="3">
        <v>0.0</v>
      </c>
      <c r="G184" s="3">
        <v>0.0</v>
      </c>
      <c r="H184" s="3">
        <v>0.0</v>
      </c>
      <c r="I184" s="2" t="str">
        <f>IFERROR(__xludf.DUMMYFUNCTION("INDEX(SPLIT(A184, ""/""), 0, 2)"),"random")</f>
        <v>random</v>
      </c>
      <c r="J184" s="2" t="b">
        <f t="shared" si="1"/>
        <v>0</v>
      </c>
    </row>
    <row r="185">
      <c r="A185" s="1" t="s">
        <v>2353</v>
      </c>
      <c r="B185" s="3">
        <v>1235.0</v>
      </c>
      <c r="C185" s="3">
        <v>60.0</v>
      </c>
      <c r="D185" s="3">
        <v>379.0</v>
      </c>
      <c r="E185" s="3">
        <v>3.0</v>
      </c>
      <c r="F185" s="3">
        <v>5.0</v>
      </c>
      <c r="G185" s="3">
        <v>2.0</v>
      </c>
      <c r="H185" s="3">
        <v>0.0</v>
      </c>
      <c r="I185" s="2" t="str">
        <f>IFERROR(__xludf.DUMMYFUNCTION("INDEX(SPLIT(A185, ""/""), 0, 2)"),"random")</f>
        <v>random</v>
      </c>
      <c r="J185" s="2" t="b">
        <f t="shared" si="1"/>
        <v>1</v>
      </c>
    </row>
    <row r="186">
      <c r="A186" s="1" t="s">
        <v>2354</v>
      </c>
      <c r="B186" s="3">
        <v>30000.0</v>
      </c>
      <c r="C186" s="3">
        <v>60.0</v>
      </c>
      <c r="D186" s="3" t="s">
        <v>28</v>
      </c>
      <c r="E186" s="3">
        <v>1397.0</v>
      </c>
      <c r="F186" s="3">
        <v>2486.0</v>
      </c>
      <c r="G186" s="3">
        <v>83.0</v>
      </c>
      <c r="H186" s="3">
        <v>16.0</v>
      </c>
      <c r="I186" s="2" t="str">
        <f>IFERROR(__xludf.DUMMYFUNCTION("INDEX(SPLIT(A186, ""/""), 0, 2)"),"random")</f>
        <v>random</v>
      </c>
      <c r="J186" s="2" t="b">
        <f t="shared" si="1"/>
        <v>1</v>
      </c>
    </row>
    <row r="187">
      <c r="A187" s="1" t="s">
        <v>2355</v>
      </c>
      <c r="B187" s="3">
        <v>56.0</v>
      </c>
      <c r="C187" s="3">
        <v>60.0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2" t="str">
        <f>IFERROR(__xludf.DUMMYFUNCTION("INDEX(SPLIT(A187, ""/""), 0, 2)"),"random")</f>
        <v>random</v>
      </c>
      <c r="J187" s="2" t="b">
        <f t="shared" si="1"/>
        <v>0</v>
      </c>
    </row>
    <row r="188">
      <c r="A188" s="1" t="s">
        <v>2356</v>
      </c>
      <c r="B188" s="3">
        <v>400.0</v>
      </c>
      <c r="C188" s="3">
        <v>60.0</v>
      </c>
      <c r="D188" s="3">
        <v>14.0</v>
      </c>
      <c r="E188" s="3">
        <v>0.0</v>
      </c>
      <c r="F188" s="3">
        <v>0.0</v>
      </c>
      <c r="G188" s="3">
        <v>0.0</v>
      </c>
      <c r="H188" s="3">
        <v>0.0</v>
      </c>
      <c r="I188" s="2" t="str">
        <f>IFERROR(__xludf.DUMMYFUNCTION("INDEX(SPLIT(A188, ""/""), 0, 2)"),"random")</f>
        <v>random</v>
      </c>
      <c r="J188" s="2" t="b">
        <f t="shared" si="1"/>
        <v>1</v>
      </c>
    </row>
    <row r="189">
      <c r="A189" s="1" t="s">
        <v>2357</v>
      </c>
      <c r="B189" s="3">
        <v>20.0</v>
      </c>
      <c r="C189" s="3">
        <v>60.0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2" t="str">
        <f>IFERROR(__xludf.DUMMYFUNCTION("INDEX(SPLIT(A189, ""/""), 0, 2)"),"random")</f>
        <v>random</v>
      </c>
      <c r="J189" s="2" t="b">
        <f t="shared" si="1"/>
        <v>0</v>
      </c>
    </row>
    <row r="190">
      <c r="A190" s="1" t="s">
        <v>2358</v>
      </c>
      <c r="B190" s="3">
        <v>1100000.0</v>
      </c>
      <c r="C190" s="3">
        <v>60.0</v>
      </c>
      <c r="D190" s="3" t="s">
        <v>28</v>
      </c>
      <c r="E190" s="3" t="s">
        <v>28</v>
      </c>
      <c r="F190" s="3" t="s">
        <v>28</v>
      </c>
      <c r="G190" s="3">
        <v>1802.0</v>
      </c>
      <c r="H190" s="3">
        <v>560.0</v>
      </c>
      <c r="I190" s="2" t="str">
        <f>IFERROR(__xludf.DUMMYFUNCTION("INDEX(SPLIT(A190, ""/""), 0, 2)"),"random")</f>
        <v>random</v>
      </c>
      <c r="J190" s="2" t="b">
        <f t="shared" si="1"/>
        <v>1</v>
      </c>
    </row>
    <row r="191">
      <c r="A191" s="1" t="s">
        <v>2359</v>
      </c>
      <c r="B191" s="3">
        <v>10867.0</v>
      </c>
      <c r="C191" s="3">
        <v>60.0</v>
      </c>
      <c r="D191" s="3">
        <v>49532.0</v>
      </c>
      <c r="E191" s="3">
        <v>144.0</v>
      </c>
      <c r="F191" s="3">
        <v>195.0</v>
      </c>
      <c r="G191" s="3">
        <v>8.0</v>
      </c>
      <c r="H191" s="3">
        <v>2.0</v>
      </c>
      <c r="I191" s="2" t="str">
        <f>IFERROR(__xludf.DUMMYFUNCTION("INDEX(SPLIT(A191, ""/""), 0, 2)"),"random")</f>
        <v>random</v>
      </c>
      <c r="J191" s="2" t="b">
        <f t="shared" si="1"/>
        <v>1</v>
      </c>
    </row>
    <row r="192">
      <c r="A192" s="1" t="s">
        <v>2360</v>
      </c>
      <c r="B192" s="3">
        <v>1200.0</v>
      </c>
      <c r="C192" s="3">
        <v>60.0</v>
      </c>
      <c r="D192" s="3">
        <v>344.0</v>
      </c>
      <c r="E192" s="3">
        <v>2.0</v>
      </c>
      <c r="F192" s="3">
        <v>5.0</v>
      </c>
      <c r="G192" s="3">
        <v>2.0</v>
      </c>
      <c r="H192" s="3">
        <v>0.0</v>
      </c>
      <c r="I192" s="2" t="str">
        <f>IFERROR(__xludf.DUMMYFUNCTION("INDEX(SPLIT(A192, ""/""), 0, 2)"),"random")</f>
        <v>random</v>
      </c>
      <c r="J192" s="2" t="b">
        <f t="shared" si="1"/>
        <v>1</v>
      </c>
    </row>
    <row r="193">
      <c r="A193" s="1" t="s">
        <v>2361</v>
      </c>
      <c r="B193" s="3">
        <v>3300.0</v>
      </c>
      <c r="C193" s="3">
        <v>60.0</v>
      </c>
      <c r="D193" s="3">
        <v>1332.0</v>
      </c>
      <c r="E193" s="3">
        <v>13.0</v>
      </c>
      <c r="F193" s="3">
        <v>17.0</v>
      </c>
      <c r="G193" s="3">
        <v>2.0</v>
      </c>
      <c r="H193" s="3">
        <v>0.0</v>
      </c>
      <c r="I193" s="2" t="str">
        <f>IFERROR(__xludf.DUMMYFUNCTION("INDEX(SPLIT(A193, ""/""), 0, 2)"),"random")</f>
        <v>random</v>
      </c>
      <c r="J193" s="2" t="b">
        <f t="shared" si="1"/>
        <v>1</v>
      </c>
    </row>
    <row r="194">
      <c r="A194" s="1" t="s">
        <v>2362</v>
      </c>
      <c r="B194" s="3">
        <v>330.0</v>
      </c>
      <c r="C194" s="3">
        <v>60.0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2" t="str">
        <f>IFERROR(__xludf.DUMMYFUNCTION("INDEX(SPLIT(A194, ""/""), 0, 2)"),"random")</f>
        <v>random</v>
      </c>
      <c r="J194" s="2" t="b">
        <f t="shared" si="1"/>
        <v>0</v>
      </c>
    </row>
    <row r="195">
      <c r="A195" s="1" t="s">
        <v>2363</v>
      </c>
      <c r="B195" s="3">
        <v>1292.0</v>
      </c>
      <c r="C195" s="3">
        <v>60.0</v>
      </c>
      <c r="D195" s="3">
        <v>344.0</v>
      </c>
      <c r="E195" s="3">
        <v>3.0</v>
      </c>
      <c r="F195" s="3">
        <v>5.0</v>
      </c>
      <c r="G195" s="3">
        <v>2.0</v>
      </c>
      <c r="H195" s="3">
        <v>0.0</v>
      </c>
      <c r="I195" s="2" t="str">
        <f>IFERROR(__xludf.DUMMYFUNCTION("INDEX(SPLIT(A195, ""/""), 0, 2)"),"random")</f>
        <v>random</v>
      </c>
      <c r="J195" s="2" t="b">
        <f t="shared" si="1"/>
        <v>1</v>
      </c>
    </row>
    <row r="196">
      <c r="A196" s="1" t="s">
        <v>2364</v>
      </c>
      <c r="B196" s="3">
        <v>12000.0</v>
      </c>
      <c r="C196" s="3">
        <v>60.0</v>
      </c>
      <c r="D196" s="3" t="s">
        <v>28</v>
      </c>
      <c r="E196" s="3">
        <v>283.0</v>
      </c>
      <c r="F196" s="3">
        <v>507.0</v>
      </c>
      <c r="G196" s="3">
        <v>24.0</v>
      </c>
      <c r="H196" s="3">
        <v>5.0</v>
      </c>
      <c r="I196" s="2" t="str">
        <f>IFERROR(__xludf.DUMMYFUNCTION("INDEX(SPLIT(A196, ""/""), 0, 2)"),"random")</f>
        <v>random</v>
      </c>
      <c r="J196" s="2" t="b">
        <f t="shared" si="1"/>
        <v>1</v>
      </c>
    </row>
    <row r="197">
      <c r="A197" s="1" t="s">
        <v>2365</v>
      </c>
      <c r="B197" s="3">
        <v>300000.0</v>
      </c>
      <c r="C197" s="3">
        <v>60.0</v>
      </c>
      <c r="D197" s="3" t="s">
        <v>28</v>
      </c>
      <c r="E197" s="3" t="s">
        <v>28</v>
      </c>
      <c r="F197" s="3" t="s">
        <v>28</v>
      </c>
      <c r="G197" s="3">
        <v>1126.0</v>
      </c>
      <c r="H197" s="3">
        <v>217.0</v>
      </c>
      <c r="I197" s="2" t="str">
        <f>IFERROR(__xludf.DUMMYFUNCTION("INDEX(SPLIT(A197, ""/""), 0, 2)"),"random")</f>
        <v>random</v>
      </c>
      <c r="J197" s="2" t="b">
        <f t="shared" si="1"/>
        <v>1</v>
      </c>
    </row>
    <row r="198">
      <c r="A198" s="1" t="s">
        <v>2366</v>
      </c>
      <c r="B198" s="3">
        <v>408.0</v>
      </c>
      <c r="C198" s="3">
        <v>60.0</v>
      </c>
      <c r="D198" s="3">
        <v>13.0</v>
      </c>
      <c r="E198" s="3">
        <v>0.0</v>
      </c>
      <c r="F198" s="3">
        <v>0.0</v>
      </c>
      <c r="G198" s="3">
        <v>0.0</v>
      </c>
      <c r="H198" s="3">
        <v>0.0</v>
      </c>
      <c r="I198" s="2" t="str">
        <f>IFERROR(__xludf.DUMMYFUNCTION("INDEX(SPLIT(A198, ""/""), 0, 2)"),"random")</f>
        <v>random</v>
      </c>
      <c r="J198" s="2" t="b">
        <f t="shared" si="1"/>
        <v>1</v>
      </c>
    </row>
    <row r="199">
      <c r="A199" s="1" t="s">
        <v>2367</v>
      </c>
      <c r="B199" s="3">
        <v>11000.0</v>
      </c>
      <c r="C199" s="3">
        <v>60.0</v>
      </c>
      <c r="D199" s="3">
        <v>51115.0</v>
      </c>
      <c r="E199" s="3">
        <v>147.0</v>
      </c>
      <c r="F199" s="3">
        <v>212.0</v>
      </c>
      <c r="G199" s="3">
        <v>9.0</v>
      </c>
      <c r="H199" s="3">
        <v>3.0</v>
      </c>
      <c r="I199" s="2" t="str">
        <f>IFERROR(__xludf.DUMMYFUNCTION("INDEX(SPLIT(A199, ""/""), 0, 2)"),"random")</f>
        <v>random</v>
      </c>
      <c r="J199" s="2" t="b">
        <f t="shared" si="1"/>
        <v>1</v>
      </c>
    </row>
    <row r="200">
      <c r="A200" s="1" t="s">
        <v>2368</v>
      </c>
      <c r="B200" s="3">
        <v>2008512.0</v>
      </c>
      <c r="C200" s="3">
        <v>60.0</v>
      </c>
      <c r="D200" s="3" t="s">
        <v>28</v>
      </c>
      <c r="E200" s="3" t="s">
        <v>28</v>
      </c>
      <c r="F200" s="3" t="s">
        <v>28</v>
      </c>
      <c r="G200" s="3">
        <v>635.0</v>
      </c>
      <c r="H200" s="3">
        <v>442.0</v>
      </c>
      <c r="I200" s="2" t="str">
        <f>IFERROR(__xludf.DUMMYFUNCTION("INDEX(SPLIT(A200, ""/""), 0, 2)"),"random")</f>
        <v>random</v>
      </c>
      <c r="J200" s="2" t="b">
        <f t="shared" si="1"/>
        <v>1</v>
      </c>
    </row>
    <row r="201">
      <c r="A201" s="1" t="s">
        <v>2369</v>
      </c>
      <c r="B201" s="3">
        <v>120.0</v>
      </c>
      <c r="C201" s="3">
        <v>60.0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2" t="str">
        <f>IFERROR(__xludf.DUMMYFUNCTION("INDEX(SPLIT(A201, ""/""), 0, 2)"),"random")</f>
        <v>random</v>
      </c>
      <c r="J201" s="2" t="b">
        <f t="shared" si="1"/>
        <v>0</v>
      </c>
    </row>
    <row r="202">
      <c r="A202" s="1" t="s">
        <v>2370</v>
      </c>
      <c r="B202" s="3">
        <v>600.0</v>
      </c>
      <c r="C202" s="3">
        <v>60.0</v>
      </c>
      <c r="D202" s="3">
        <v>14.0</v>
      </c>
      <c r="E202" s="3">
        <v>0.0</v>
      </c>
      <c r="F202" s="3">
        <v>0.0</v>
      </c>
      <c r="G202" s="3">
        <v>2.0</v>
      </c>
      <c r="H202" s="3">
        <v>0.0</v>
      </c>
      <c r="I202" s="2" t="str">
        <f>IFERROR(__xludf.DUMMYFUNCTION("INDEX(SPLIT(A202, ""/""), 0, 2)"),"random")</f>
        <v>random</v>
      </c>
      <c r="J202" s="2" t="b">
        <f t="shared" si="1"/>
        <v>1</v>
      </c>
    </row>
    <row r="203">
      <c r="A203" s="1" t="s">
        <v>2371</v>
      </c>
      <c r="B203" s="3">
        <v>2085.0</v>
      </c>
      <c r="C203" s="3">
        <v>60.0</v>
      </c>
      <c r="D203" s="3">
        <v>817.0</v>
      </c>
      <c r="E203" s="3">
        <v>7.0</v>
      </c>
      <c r="F203" s="3">
        <v>10.0</v>
      </c>
      <c r="G203" s="3">
        <v>2.0</v>
      </c>
      <c r="H203" s="3">
        <v>0.0</v>
      </c>
      <c r="I203" s="2" t="str">
        <f>IFERROR(__xludf.DUMMYFUNCTION("INDEX(SPLIT(A203, ""/""), 0, 2)"),"random")</f>
        <v>random</v>
      </c>
      <c r="J203" s="2" t="b">
        <f t="shared" si="1"/>
        <v>1</v>
      </c>
    </row>
    <row r="204">
      <c r="A204" s="1" t="s">
        <v>2372</v>
      </c>
      <c r="B204" s="3">
        <v>13.0</v>
      </c>
      <c r="C204" s="3">
        <v>60.0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2" t="str">
        <f>IFERROR(__xludf.DUMMYFUNCTION("INDEX(SPLIT(A204, ""/""), 0, 2)"),"random")</f>
        <v>random</v>
      </c>
      <c r="J204" s="2" t="b">
        <f t="shared" si="1"/>
        <v>0</v>
      </c>
    </row>
    <row r="205">
      <c r="A205" s="1" t="s">
        <v>2373</v>
      </c>
      <c r="B205" s="3">
        <v>33000.0</v>
      </c>
      <c r="C205" s="3">
        <v>60.0</v>
      </c>
      <c r="D205" s="3" t="s">
        <v>28</v>
      </c>
      <c r="E205" s="3">
        <v>1374.0</v>
      </c>
      <c r="F205" s="3">
        <v>2002.0</v>
      </c>
      <c r="G205" s="3">
        <v>30.0</v>
      </c>
      <c r="H205" s="3">
        <v>10.0</v>
      </c>
      <c r="I205" s="2" t="str">
        <f>IFERROR(__xludf.DUMMYFUNCTION("INDEX(SPLIT(A205, ""/""), 0, 2)"),"random")</f>
        <v>random</v>
      </c>
      <c r="J205" s="2" t="b">
        <f t="shared" si="1"/>
        <v>1</v>
      </c>
    </row>
    <row r="206">
      <c r="A206" s="1" t="s">
        <v>2374</v>
      </c>
      <c r="B206" s="3">
        <v>2000.0</v>
      </c>
      <c r="C206" s="3">
        <v>60.0</v>
      </c>
      <c r="D206" s="3">
        <v>162.0</v>
      </c>
      <c r="E206" s="3">
        <v>2.0</v>
      </c>
      <c r="F206" s="3">
        <v>1.0</v>
      </c>
      <c r="G206" s="3">
        <v>9.0</v>
      </c>
      <c r="H206" s="3">
        <v>1.0</v>
      </c>
      <c r="I206" s="2" t="str">
        <f>IFERROR(__xludf.DUMMYFUNCTION("INDEX(SPLIT(A206, ""/""), 0, 2)"),"random")</f>
        <v>random</v>
      </c>
      <c r="J206" s="2" t="b">
        <f t="shared" si="1"/>
        <v>1</v>
      </c>
    </row>
    <row r="207">
      <c r="A207" s="1" t="s">
        <v>2375</v>
      </c>
      <c r="B207" s="3">
        <v>13.0</v>
      </c>
      <c r="C207" s="3">
        <v>60.0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2" t="str">
        <f>IFERROR(__xludf.DUMMYFUNCTION("INDEX(SPLIT(A207, ""/""), 0, 2)"),"random")</f>
        <v>random</v>
      </c>
      <c r="J207" s="2" t="b">
        <f t="shared" si="1"/>
        <v>0</v>
      </c>
    </row>
    <row r="208">
      <c r="A208" s="1" t="s">
        <v>2376</v>
      </c>
      <c r="B208" s="3">
        <v>90000.0</v>
      </c>
      <c r="C208" s="3">
        <v>60.0</v>
      </c>
      <c r="D208" s="3" t="s">
        <v>28</v>
      </c>
      <c r="E208" s="3">
        <v>13688.0</v>
      </c>
      <c r="F208" s="3">
        <v>24957.0</v>
      </c>
      <c r="G208" s="3">
        <v>306.0</v>
      </c>
      <c r="H208" s="3">
        <v>67.0</v>
      </c>
      <c r="I208" s="2" t="str">
        <f>IFERROR(__xludf.DUMMYFUNCTION("INDEX(SPLIT(A208, ""/""), 0, 2)"),"random")</f>
        <v>random</v>
      </c>
      <c r="J208" s="2" t="b">
        <f t="shared" si="1"/>
        <v>1</v>
      </c>
    </row>
    <row r="209">
      <c r="A209" s="1" t="s">
        <v>2377</v>
      </c>
      <c r="B209" s="3">
        <v>182735.0</v>
      </c>
      <c r="C209" s="3">
        <v>60.0</v>
      </c>
      <c r="D209" s="3" t="s">
        <v>28</v>
      </c>
      <c r="E209" s="3">
        <v>8459.0</v>
      </c>
      <c r="F209" s="3">
        <v>18415.0</v>
      </c>
      <c r="G209" s="3">
        <v>71.0</v>
      </c>
      <c r="H209" s="3">
        <v>40.0</v>
      </c>
      <c r="I209" s="2" t="str">
        <f>IFERROR(__xludf.DUMMYFUNCTION("INDEX(SPLIT(A209, ""/""), 0, 2)"),"random")</f>
        <v>random</v>
      </c>
      <c r="J209" s="2" t="b">
        <f t="shared" si="1"/>
        <v>1</v>
      </c>
    </row>
    <row r="210">
      <c r="A210" s="1" t="s">
        <v>2378</v>
      </c>
      <c r="B210" s="3">
        <v>600.0</v>
      </c>
      <c r="C210" s="3">
        <v>60.0</v>
      </c>
      <c r="D210" s="3">
        <v>15.0</v>
      </c>
      <c r="E210" s="3">
        <v>0.0</v>
      </c>
      <c r="F210" s="3">
        <v>0.0</v>
      </c>
      <c r="G210" s="3">
        <v>3.0</v>
      </c>
      <c r="H210" s="3">
        <v>0.0</v>
      </c>
      <c r="I210" s="2" t="str">
        <f>IFERROR(__xludf.DUMMYFUNCTION("INDEX(SPLIT(A210, ""/""), 0, 2)"),"random")</f>
        <v>random</v>
      </c>
      <c r="J210" s="2" t="b">
        <f t="shared" si="1"/>
        <v>1</v>
      </c>
    </row>
    <row r="211">
      <c r="A211" s="1" t="s">
        <v>2379</v>
      </c>
      <c r="B211" s="3">
        <v>40.0</v>
      </c>
      <c r="C211" s="3">
        <v>60.0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2" t="str">
        <f>IFERROR(__xludf.DUMMYFUNCTION("INDEX(SPLIT(A211, ""/""), 0, 2)"),"random")</f>
        <v>random</v>
      </c>
      <c r="J211" s="2" t="b">
        <f t="shared" si="1"/>
        <v>0</v>
      </c>
    </row>
    <row r="212">
      <c r="A212" s="1" t="s">
        <v>2380</v>
      </c>
      <c r="B212" s="3">
        <v>31042.0</v>
      </c>
      <c r="C212" s="3">
        <v>60.0</v>
      </c>
      <c r="D212" s="3" t="s">
        <v>28</v>
      </c>
      <c r="E212" s="3">
        <v>440.0</v>
      </c>
      <c r="F212" s="3">
        <v>673.0</v>
      </c>
      <c r="G212" s="3">
        <v>14.0</v>
      </c>
      <c r="H212" s="3">
        <v>6.0</v>
      </c>
      <c r="I212" s="2" t="str">
        <f>IFERROR(__xludf.DUMMYFUNCTION("INDEX(SPLIT(A212, ""/""), 0, 2)"),"random")</f>
        <v>random</v>
      </c>
      <c r="J212" s="2" t="b">
        <f t="shared" si="1"/>
        <v>1</v>
      </c>
    </row>
    <row r="213">
      <c r="A213" s="1" t="s">
        <v>2381</v>
      </c>
      <c r="B213" s="3">
        <v>110000.0</v>
      </c>
      <c r="C213" s="3">
        <v>60.0</v>
      </c>
      <c r="D213" s="3" t="s">
        <v>28</v>
      </c>
      <c r="E213" s="3">
        <v>16080.0</v>
      </c>
      <c r="F213" s="3">
        <v>23525.0</v>
      </c>
      <c r="G213" s="3">
        <v>104.0</v>
      </c>
      <c r="H213" s="3">
        <v>34.0</v>
      </c>
      <c r="I213" s="2" t="str">
        <f>IFERROR(__xludf.DUMMYFUNCTION("INDEX(SPLIT(A213, ""/""), 0, 2)"),"random")</f>
        <v>random</v>
      </c>
      <c r="J213" s="2" t="b">
        <f t="shared" si="1"/>
        <v>1</v>
      </c>
    </row>
    <row r="214">
      <c r="A214" s="1" t="s">
        <v>2382</v>
      </c>
      <c r="B214" s="3">
        <v>93267.0</v>
      </c>
      <c r="C214" s="3">
        <v>60.0</v>
      </c>
      <c r="D214" s="3" t="s">
        <v>28</v>
      </c>
      <c r="E214" s="3">
        <v>4161.0</v>
      </c>
      <c r="F214" s="3">
        <v>6882.0</v>
      </c>
      <c r="G214" s="3">
        <v>43.0</v>
      </c>
      <c r="H214" s="3">
        <v>20.0</v>
      </c>
      <c r="I214" s="2" t="str">
        <f>IFERROR(__xludf.DUMMYFUNCTION("INDEX(SPLIT(A214, ""/""), 0, 2)"),"random")</f>
        <v>random</v>
      </c>
      <c r="J214" s="2" t="b">
        <f t="shared" si="1"/>
        <v>1</v>
      </c>
    </row>
    <row r="215">
      <c r="A215" s="1" t="s">
        <v>2383</v>
      </c>
      <c r="B215" s="3">
        <v>21146.0</v>
      </c>
      <c r="C215" s="3">
        <v>60.0</v>
      </c>
      <c r="D215" s="3" t="s">
        <v>28</v>
      </c>
      <c r="E215" s="3">
        <v>298.0</v>
      </c>
      <c r="F215" s="3">
        <v>428.0</v>
      </c>
      <c r="G215" s="3">
        <v>11.0</v>
      </c>
      <c r="H215" s="3">
        <v>4.0</v>
      </c>
      <c r="I215" s="2" t="str">
        <f>IFERROR(__xludf.DUMMYFUNCTION("INDEX(SPLIT(A215, ""/""), 0, 2)"),"random")</f>
        <v>random</v>
      </c>
      <c r="J215" s="2" t="b">
        <f t="shared" si="1"/>
        <v>1</v>
      </c>
    </row>
    <row r="216">
      <c r="A216" s="1" t="s">
        <v>2384</v>
      </c>
      <c r="B216" s="3">
        <v>900.0</v>
      </c>
      <c r="C216" s="3">
        <v>60.0</v>
      </c>
      <c r="D216" s="3">
        <v>157.0</v>
      </c>
      <c r="E216" s="3">
        <v>1.0</v>
      </c>
      <c r="F216" s="3">
        <v>2.0</v>
      </c>
      <c r="G216" s="3">
        <v>2.0</v>
      </c>
      <c r="H216" s="3">
        <v>0.0</v>
      </c>
      <c r="I216" s="2" t="str">
        <f>IFERROR(__xludf.DUMMYFUNCTION("INDEX(SPLIT(A216, ""/""), 0, 2)"),"random")</f>
        <v>random</v>
      </c>
      <c r="J216" s="2" t="b">
        <f t="shared" si="1"/>
        <v>1</v>
      </c>
    </row>
    <row r="217">
      <c r="A217" s="1" t="s">
        <v>2385</v>
      </c>
      <c r="B217" s="3">
        <v>1100.0</v>
      </c>
      <c r="C217" s="3">
        <v>60.0</v>
      </c>
      <c r="D217" s="3">
        <v>53.0</v>
      </c>
      <c r="E217" s="3">
        <v>1.0</v>
      </c>
      <c r="F217" s="3">
        <v>3.0</v>
      </c>
      <c r="G217" s="3">
        <v>0.0</v>
      </c>
      <c r="H217" s="3">
        <v>0.0</v>
      </c>
      <c r="I217" s="2" t="str">
        <f>IFERROR(__xludf.DUMMYFUNCTION("INDEX(SPLIT(A217, ""/""), 0, 2)"),"random")</f>
        <v>random</v>
      </c>
      <c r="J217" s="2" t="b">
        <f t="shared" si="1"/>
        <v>1</v>
      </c>
    </row>
    <row r="218">
      <c r="A218" s="1" t="s">
        <v>2386</v>
      </c>
      <c r="B218" s="3">
        <v>330000.0</v>
      </c>
      <c r="C218" s="3">
        <v>60.0</v>
      </c>
      <c r="D218" s="3" t="s">
        <v>28</v>
      </c>
      <c r="E218" s="3" t="s">
        <v>28</v>
      </c>
      <c r="F218" s="3" t="s">
        <v>28</v>
      </c>
      <c r="G218" s="3">
        <v>357.0</v>
      </c>
      <c r="H218" s="3">
        <v>111.0</v>
      </c>
      <c r="I218" s="2" t="str">
        <f>IFERROR(__xludf.DUMMYFUNCTION("INDEX(SPLIT(A218, ""/""), 0, 2)"),"random")</f>
        <v>random</v>
      </c>
      <c r="J218" s="2" t="b">
        <f t="shared" si="1"/>
        <v>1</v>
      </c>
    </row>
    <row r="219">
      <c r="A219" s="1" t="s">
        <v>2387</v>
      </c>
      <c r="B219" s="3">
        <v>273541.0</v>
      </c>
      <c r="C219" s="3">
        <v>60.0</v>
      </c>
      <c r="D219" s="3" t="s">
        <v>28</v>
      </c>
      <c r="E219" s="3">
        <v>12796.0</v>
      </c>
      <c r="F219" s="3">
        <v>36640.0</v>
      </c>
      <c r="G219" s="3">
        <v>96.0</v>
      </c>
      <c r="H219" s="3">
        <v>58.0</v>
      </c>
      <c r="I219" s="2" t="str">
        <f>IFERROR(__xludf.DUMMYFUNCTION("INDEX(SPLIT(A219, ""/""), 0, 2)"),"random")</f>
        <v>random</v>
      </c>
      <c r="J219" s="2" t="b">
        <f t="shared" si="1"/>
        <v>1</v>
      </c>
    </row>
    <row r="220">
      <c r="A220" s="1" t="s">
        <v>2388</v>
      </c>
      <c r="B220" s="3">
        <v>20000.0</v>
      </c>
      <c r="C220" s="3">
        <v>60.0</v>
      </c>
      <c r="D220" s="3">
        <v>18104.0</v>
      </c>
      <c r="E220" s="3">
        <v>22.0</v>
      </c>
      <c r="F220" s="3">
        <v>20.0</v>
      </c>
      <c r="G220" s="3">
        <v>121.0</v>
      </c>
      <c r="H220" s="3">
        <v>15.0</v>
      </c>
      <c r="I220" s="2" t="str">
        <f>IFERROR(__xludf.DUMMYFUNCTION("INDEX(SPLIT(A220, ""/""), 0, 2)"),"random")</f>
        <v>random</v>
      </c>
      <c r="J220" s="2" t="b">
        <f t="shared" si="1"/>
        <v>1</v>
      </c>
    </row>
    <row r="221">
      <c r="A221" s="1" t="s">
        <v>2389</v>
      </c>
      <c r="B221" s="3">
        <v>90.0</v>
      </c>
      <c r="C221" s="3">
        <v>60.0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2" t="str">
        <f>IFERROR(__xludf.DUMMYFUNCTION("INDEX(SPLIT(A221, ""/""), 0, 2)"),"random")</f>
        <v>random</v>
      </c>
      <c r="J221" s="2" t="b">
        <f t="shared" si="1"/>
        <v>0</v>
      </c>
    </row>
    <row r="222">
      <c r="A222" s="1" t="s">
        <v>2390</v>
      </c>
      <c r="B222" s="3">
        <v>11000.0</v>
      </c>
      <c r="C222" s="3">
        <v>60.0</v>
      </c>
      <c r="D222" s="3">
        <v>50167.0</v>
      </c>
      <c r="E222" s="3">
        <v>149.0</v>
      </c>
      <c r="F222" s="3">
        <v>208.0</v>
      </c>
      <c r="G222" s="3">
        <v>9.0</v>
      </c>
      <c r="H222" s="3">
        <v>3.0</v>
      </c>
      <c r="I222" s="2" t="str">
        <f>IFERROR(__xludf.DUMMYFUNCTION("INDEX(SPLIT(A222, ""/""), 0, 2)"),"random")</f>
        <v>random</v>
      </c>
      <c r="J222" s="2" t="b">
        <f t="shared" si="1"/>
        <v>1</v>
      </c>
    </row>
    <row r="223">
      <c r="A223" s="1" t="s">
        <v>2391</v>
      </c>
      <c r="B223" s="3">
        <v>317.0</v>
      </c>
      <c r="C223" s="3">
        <v>60.0</v>
      </c>
      <c r="D223" s="3">
        <v>6.0</v>
      </c>
      <c r="E223" s="3">
        <v>0.0</v>
      </c>
      <c r="F223" s="3">
        <v>0.0</v>
      </c>
      <c r="G223" s="3">
        <v>0.0</v>
      </c>
      <c r="H223" s="3">
        <v>0.0</v>
      </c>
      <c r="I223" s="2" t="str">
        <f>IFERROR(__xludf.DUMMYFUNCTION("INDEX(SPLIT(A223, ""/""), 0, 2)"),"random")</f>
        <v>random</v>
      </c>
      <c r="J223" s="2" t="b">
        <f t="shared" si="1"/>
        <v>0</v>
      </c>
    </row>
    <row r="224">
      <c r="A224" s="1" t="s">
        <v>2392</v>
      </c>
      <c r="B224" s="3">
        <v>60.0</v>
      </c>
      <c r="C224" s="3">
        <v>60.0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2" t="str">
        <f>IFERROR(__xludf.DUMMYFUNCTION("INDEX(SPLIT(A224, ""/""), 0, 2)"),"random")</f>
        <v>random</v>
      </c>
      <c r="J224" s="2" t="b">
        <f t="shared" si="1"/>
        <v>0</v>
      </c>
    </row>
    <row r="225">
      <c r="A225" s="1" t="s">
        <v>2393</v>
      </c>
      <c r="B225" s="3">
        <v>120.0</v>
      </c>
      <c r="C225" s="3">
        <v>60.0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2" t="str">
        <f>IFERROR(__xludf.DUMMYFUNCTION("INDEX(SPLIT(A225, ""/""), 0, 2)"),"random")</f>
        <v>random</v>
      </c>
      <c r="J225" s="2" t="b">
        <f t="shared" si="1"/>
        <v>0</v>
      </c>
    </row>
    <row r="226">
      <c r="A226" s="1" t="s">
        <v>2394</v>
      </c>
      <c r="B226" s="3">
        <v>300000.0</v>
      </c>
      <c r="C226" s="3">
        <v>60.0</v>
      </c>
      <c r="D226" s="3" t="s">
        <v>28</v>
      </c>
      <c r="E226" s="3" t="s">
        <v>28</v>
      </c>
      <c r="F226" s="3" t="s">
        <v>28</v>
      </c>
      <c r="G226" s="3">
        <v>3313.0</v>
      </c>
      <c r="H226" s="3">
        <v>298.0</v>
      </c>
      <c r="I226" s="2" t="str">
        <f>IFERROR(__xludf.DUMMYFUNCTION("INDEX(SPLIT(A226, ""/""), 0, 2)"),"random")</f>
        <v>random</v>
      </c>
      <c r="J226" s="2" t="b">
        <f t="shared" si="1"/>
        <v>1</v>
      </c>
    </row>
    <row r="227">
      <c r="A227" s="1" t="s">
        <v>2395</v>
      </c>
      <c r="B227" s="3">
        <v>4000.0</v>
      </c>
      <c r="C227" s="3">
        <v>60.0</v>
      </c>
      <c r="D227" s="3">
        <v>13177.0</v>
      </c>
      <c r="E227" s="3">
        <v>30.0</v>
      </c>
      <c r="F227" s="3">
        <v>52.0</v>
      </c>
      <c r="G227" s="3">
        <v>8.0</v>
      </c>
      <c r="H227" s="3">
        <v>2.0</v>
      </c>
      <c r="I227" s="2" t="str">
        <f>IFERROR(__xludf.DUMMYFUNCTION("INDEX(SPLIT(A227, ""/""), 0, 2)"),"random")</f>
        <v>random</v>
      </c>
      <c r="J227" s="2" t="b">
        <f t="shared" si="1"/>
        <v>1</v>
      </c>
    </row>
    <row r="228">
      <c r="A228" s="1" t="s">
        <v>2396</v>
      </c>
      <c r="B228" s="3">
        <v>11.0</v>
      </c>
      <c r="C228" s="3">
        <v>60.0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2" t="str">
        <f>IFERROR(__xludf.DUMMYFUNCTION("INDEX(SPLIT(A228, ""/""), 0, 2)"),"random")</f>
        <v>random</v>
      </c>
      <c r="J228" s="2" t="b">
        <f t="shared" si="1"/>
        <v>0</v>
      </c>
    </row>
    <row r="229">
      <c r="A229" s="1" t="s">
        <v>2397</v>
      </c>
      <c r="B229" s="3">
        <v>200000.0</v>
      </c>
      <c r="C229" s="3">
        <v>60.0</v>
      </c>
      <c r="D229" s="3" t="s">
        <v>28</v>
      </c>
      <c r="E229" s="3">
        <v>306.0</v>
      </c>
      <c r="F229" s="3">
        <v>285.0</v>
      </c>
      <c r="G229" s="3">
        <v>1506.0</v>
      </c>
      <c r="H229" s="3">
        <v>201.0</v>
      </c>
      <c r="I229" s="2" t="str">
        <f>IFERROR(__xludf.DUMMYFUNCTION("INDEX(SPLIT(A229, ""/""), 0, 2)"),"random")</f>
        <v>random</v>
      </c>
      <c r="J229" s="2" t="b">
        <f t="shared" si="1"/>
        <v>1</v>
      </c>
    </row>
    <row r="230">
      <c r="A230" s="1" t="s">
        <v>2398</v>
      </c>
      <c r="B230" s="3">
        <v>400000.0</v>
      </c>
      <c r="C230" s="3">
        <v>60.0</v>
      </c>
      <c r="D230" s="3" t="s">
        <v>28</v>
      </c>
      <c r="E230" s="3" t="s">
        <v>28</v>
      </c>
      <c r="F230" s="3" t="s">
        <v>28</v>
      </c>
      <c r="G230" s="3">
        <v>1295.0</v>
      </c>
      <c r="H230" s="3">
        <v>292.0</v>
      </c>
      <c r="I230" s="2" t="str">
        <f>IFERROR(__xludf.DUMMYFUNCTION("INDEX(SPLIT(A230, ""/""), 0, 2)"),"random")</f>
        <v>random</v>
      </c>
      <c r="J230" s="2" t="b">
        <f t="shared" si="1"/>
        <v>1</v>
      </c>
    </row>
    <row r="231">
      <c r="A231" s="1" t="s">
        <v>2399</v>
      </c>
      <c r="B231" s="3">
        <v>9000.0</v>
      </c>
      <c r="C231" s="3">
        <v>60.0</v>
      </c>
      <c r="D231" s="3" t="s">
        <v>28</v>
      </c>
      <c r="E231" s="3">
        <v>117.0</v>
      </c>
      <c r="F231" s="3">
        <v>223.0</v>
      </c>
      <c r="G231" s="3">
        <v>25.0</v>
      </c>
      <c r="H231" s="3">
        <v>4.0</v>
      </c>
      <c r="I231" s="2" t="str">
        <f>IFERROR(__xludf.DUMMYFUNCTION("INDEX(SPLIT(A231, ""/""), 0, 2)"),"random")</f>
        <v>random</v>
      </c>
      <c r="J231" s="2" t="b">
        <f t="shared" si="1"/>
        <v>1</v>
      </c>
    </row>
    <row r="232">
      <c r="A232" s="1" t="s">
        <v>2400</v>
      </c>
      <c r="B232" s="3">
        <v>14.0</v>
      </c>
      <c r="C232" s="3">
        <v>60.0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2" t="str">
        <f>IFERROR(__xludf.DUMMYFUNCTION("INDEX(SPLIT(A232, ""/""), 0, 2)"),"random")</f>
        <v>random</v>
      </c>
      <c r="J232" s="2" t="b">
        <f t="shared" si="1"/>
        <v>0</v>
      </c>
    </row>
    <row r="233">
      <c r="A233" s="1" t="s">
        <v>2401</v>
      </c>
      <c r="B233" s="3">
        <v>12000.0</v>
      </c>
      <c r="C233" s="3">
        <v>60.0</v>
      </c>
      <c r="D233" s="3" t="s">
        <v>28</v>
      </c>
      <c r="E233" s="3">
        <v>288.0</v>
      </c>
      <c r="F233" s="3">
        <v>518.0</v>
      </c>
      <c r="G233" s="3">
        <v>38.0</v>
      </c>
      <c r="H233" s="3">
        <v>7.0</v>
      </c>
      <c r="I233" s="2" t="str">
        <f>IFERROR(__xludf.DUMMYFUNCTION("INDEX(SPLIT(A233, ""/""), 0, 2)"),"random")</f>
        <v>random</v>
      </c>
      <c r="J233" s="2" t="b">
        <f t="shared" si="1"/>
        <v>1</v>
      </c>
    </row>
    <row r="234">
      <c r="A234" s="1" t="s">
        <v>2402</v>
      </c>
      <c r="B234" s="3">
        <v>6000.0</v>
      </c>
      <c r="C234" s="3">
        <v>60.0</v>
      </c>
      <c r="D234" s="3">
        <v>1559.0</v>
      </c>
      <c r="E234" s="3">
        <v>6.0</v>
      </c>
      <c r="F234" s="3">
        <v>5.0</v>
      </c>
      <c r="G234" s="3">
        <v>27.0</v>
      </c>
      <c r="H234" s="3">
        <v>4.0</v>
      </c>
      <c r="I234" s="2" t="str">
        <f>IFERROR(__xludf.DUMMYFUNCTION("INDEX(SPLIT(A234, ""/""), 0, 2)"),"random")</f>
        <v>random</v>
      </c>
      <c r="J234" s="2" t="b">
        <f t="shared" si="1"/>
        <v>1</v>
      </c>
    </row>
    <row r="235">
      <c r="A235" s="1" t="s">
        <v>2403</v>
      </c>
      <c r="B235" s="3">
        <v>3000.0</v>
      </c>
      <c r="C235" s="3">
        <v>60.0</v>
      </c>
      <c r="D235" s="3">
        <v>1252.0</v>
      </c>
      <c r="E235" s="3">
        <v>12.0</v>
      </c>
      <c r="F235" s="3">
        <v>16.0</v>
      </c>
      <c r="G235" s="3">
        <v>2.0</v>
      </c>
      <c r="H235" s="3">
        <v>0.0</v>
      </c>
      <c r="I235" s="2" t="str">
        <f>IFERROR(__xludf.DUMMYFUNCTION("INDEX(SPLIT(A235, ""/""), 0, 2)"),"random")</f>
        <v>random</v>
      </c>
      <c r="J235" s="2" t="b">
        <f t="shared" si="1"/>
        <v>1</v>
      </c>
    </row>
    <row r="236">
      <c r="A236" s="1" t="s">
        <v>2404</v>
      </c>
      <c r="B236" s="3">
        <v>3000.0</v>
      </c>
      <c r="C236" s="3">
        <v>60.0</v>
      </c>
      <c r="D236" s="3">
        <v>5067.0</v>
      </c>
      <c r="E236" s="3">
        <v>13.0</v>
      </c>
      <c r="F236" s="3">
        <v>24.0</v>
      </c>
      <c r="G236" s="3">
        <v>8.0</v>
      </c>
      <c r="H236" s="3">
        <v>1.0</v>
      </c>
      <c r="I236" s="2" t="str">
        <f>IFERROR(__xludf.DUMMYFUNCTION("INDEX(SPLIT(A236, ""/""), 0, 2)"),"random")</f>
        <v>random</v>
      </c>
      <c r="J236" s="2" t="b">
        <f t="shared" si="1"/>
        <v>1</v>
      </c>
    </row>
    <row r="237">
      <c r="A237" s="1" t="s">
        <v>2405</v>
      </c>
      <c r="B237" s="3">
        <v>1010275.0</v>
      </c>
      <c r="C237" s="3">
        <v>60.0</v>
      </c>
      <c r="D237" s="3" t="s">
        <v>28</v>
      </c>
      <c r="E237" s="3" t="s">
        <v>28</v>
      </c>
      <c r="F237" s="3" t="s">
        <v>28</v>
      </c>
      <c r="G237" s="3">
        <v>451.0</v>
      </c>
      <c r="H237" s="3">
        <v>252.0</v>
      </c>
      <c r="I237" s="2" t="str">
        <f>IFERROR(__xludf.DUMMYFUNCTION("INDEX(SPLIT(A237, ""/""), 0, 2)"),"random")</f>
        <v>random</v>
      </c>
      <c r="J237" s="2" t="b">
        <f t="shared" si="1"/>
        <v>1</v>
      </c>
    </row>
    <row r="238">
      <c r="A238" s="1" t="s">
        <v>2406</v>
      </c>
      <c r="B238" s="3">
        <v>201.0</v>
      </c>
      <c r="C238" s="3">
        <v>60.0</v>
      </c>
      <c r="D238" s="3">
        <v>1.0</v>
      </c>
      <c r="E238" s="3">
        <v>0.0</v>
      </c>
      <c r="F238" s="3">
        <v>0.0</v>
      </c>
      <c r="G238" s="3">
        <v>0.0</v>
      </c>
      <c r="H238" s="3">
        <v>0.0</v>
      </c>
      <c r="I238" s="2" t="str">
        <f>IFERROR(__xludf.DUMMYFUNCTION("INDEX(SPLIT(A238, ""/""), 0, 2)"),"random")</f>
        <v>random</v>
      </c>
      <c r="J238" s="2" t="b">
        <f t="shared" si="1"/>
        <v>0</v>
      </c>
    </row>
    <row r="239">
      <c r="A239" s="1" t="s">
        <v>2407</v>
      </c>
      <c r="B239" s="3">
        <v>110.0</v>
      </c>
      <c r="C239" s="3">
        <v>60.0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2" t="str">
        <f>IFERROR(__xludf.DUMMYFUNCTION("INDEX(SPLIT(A239, ""/""), 0, 2)"),"random")</f>
        <v>random</v>
      </c>
      <c r="J239" s="2" t="b">
        <f t="shared" si="1"/>
        <v>0</v>
      </c>
    </row>
    <row r="240">
      <c r="A240" s="1" t="s">
        <v>2408</v>
      </c>
      <c r="B240" s="3">
        <v>90.0</v>
      </c>
      <c r="C240" s="3">
        <v>60.0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2" t="str">
        <f>IFERROR(__xludf.DUMMYFUNCTION("INDEX(SPLIT(A240, ""/""), 0, 2)"),"random")</f>
        <v>random</v>
      </c>
      <c r="J240" s="2" t="b">
        <f t="shared" si="1"/>
        <v>0</v>
      </c>
    </row>
    <row r="241">
      <c r="A241" s="1" t="s">
        <v>2409</v>
      </c>
      <c r="B241" s="3">
        <v>396.0</v>
      </c>
      <c r="C241" s="3">
        <v>60.0</v>
      </c>
      <c r="D241" s="3">
        <v>12.0</v>
      </c>
      <c r="E241" s="3">
        <v>0.0</v>
      </c>
      <c r="F241" s="3">
        <v>0.0</v>
      </c>
      <c r="G241" s="3">
        <v>0.0</v>
      </c>
      <c r="H241" s="3">
        <v>0.0</v>
      </c>
      <c r="I241" s="2" t="str">
        <f>IFERROR(__xludf.DUMMYFUNCTION("INDEX(SPLIT(A241, ""/""), 0, 2)"),"random")</f>
        <v>random</v>
      </c>
      <c r="J241" s="2" t="b">
        <f t="shared" si="1"/>
        <v>1</v>
      </c>
    </row>
    <row r="242">
      <c r="A242" s="1" t="s">
        <v>2410</v>
      </c>
      <c r="B242" s="3">
        <v>3009086.0</v>
      </c>
      <c r="C242" s="3">
        <v>60.0</v>
      </c>
      <c r="D242" s="3" t="s">
        <v>28</v>
      </c>
      <c r="E242" s="3" t="s">
        <v>28</v>
      </c>
      <c r="F242" s="3" t="s">
        <v>28</v>
      </c>
      <c r="G242" s="3">
        <v>946.0</v>
      </c>
      <c r="H242" s="3">
        <v>671.0</v>
      </c>
      <c r="I242" s="2" t="str">
        <f>IFERROR(__xludf.DUMMYFUNCTION("INDEX(SPLIT(A242, ""/""), 0, 2)"),"random")</f>
        <v>random</v>
      </c>
      <c r="J242" s="2" t="b">
        <f t="shared" si="1"/>
        <v>1</v>
      </c>
    </row>
    <row r="243">
      <c r="A243" s="1" t="s">
        <v>2411</v>
      </c>
      <c r="B243" s="3">
        <v>600.0</v>
      </c>
      <c r="C243" s="3">
        <v>60.0</v>
      </c>
      <c r="D243" s="3">
        <v>14.0</v>
      </c>
      <c r="E243" s="3">
        <v>0.0</v>
      </c>
      <c r="F243" s="3">
        <v>0.0</v>
      </c>
      <c r="G243" s="3">
        <v>2.0</v>
      </c>
      <c r="H243" s="3">
        <v>0.0</v>
      </c>
      <c r="I243" s="2" t="str">
        <f>IFERROR(__xludf.DUMMYFUNCTION("INDEX(SPLIT(A243, ""/""), 0, 2)"),"random")</f>
        <v>random</v>
      </c>
      <c r="J243" s="2" t="b">
        <f t="shared" si="1"/>
        <v>1</v>
      </c>
    </row>
    <row r="244">
      <c r="A244" s="1" t="s">
        <v>2412</v>
      </c>
      <c r="B244" s="3">
        <v>90000.0</v>
      </c>
      <c r="C244" s="3">
        <v>60.0</v>
      </c>
      <c r="D244" s="3" t="s">
        <v>28</v>
      </c>
      <c r="E244" s="3">
        <v>13653.0</v>
      </c>
      <c r="F244" s="3">
        <v>24857.0</v>
      </c>
      <c r="G244" s="3">
        <v>288.0</v>
      </c>
      <c r="H244" s="3">
        <v>61.0</v>
      </c>
      <c r="I244" s="2" t="str">
        <f>IFERROR(__xludf.DUMMYFUNCTION("INDEX(SPLIT(A244, ""/""), 0, 2)"),"random")</f>
        <v>random</v>
      </c>
      <c r="J244" s="2" t="b">
        <f t="shared" si="1"/>
        <v>1</v>
      </c>
    </row>
    <row r="245">
      <c r="A245" s="1" t="s">
        <v>2413</v>
      </c>
      <c r="B245" s="3">
        <v>182528.0</v>
      </c>
      <c r="C245" s="3">
        <v>60.0</v>
      </c>
      <c r="D245" s="3" t="s">
        <v>28</v>
      </c>
      <c r="E245" s="3">
        <v>8416.0</v>
      </c>
      <c r="F245" s="3">
        <v>18335.0</v>
      </c>
      <c r="G245" s="3">
        <v>69.0</v>
      </c>
      <c r="H245" s="3">
        <v>39.0</v>
      </c>
      <c r="I245" s="2" t="str">
        <f>IFERROR(__xludf.DUMMYFUNCTION("INDEX(SPLIT(A245, ""/""), 0, 2)"),"random")</f>
        <v>random</v>
      </c>
      <c r="J245" s="2" t="b">
        <f t="shared" si="1"/>
        <v>1</v>
      </c>
    </row>
    <row r="246">
      <c r="A246" s="1" t="s">
        <v>2414</v>
      </c>
      <c r="B246" s="3">
        <v>30846.0</v>
      </c>
      <c r="C246" s="3">
        <v>60.0</v>
      </c>
      <c r="D246" s="3" t="s">
        <v>28</v>
      </c>
      <c r="E246" s="3">
        <v>438.0</v>
      </c>
      <c r="F246" s="3">
        <v>671.0</v>
      </c>
      <c r="G246" s="3">
        <v>14.0</v>
      </c>
      <c r="H246" s="3">
        <v>6.0</v>
      </c>
      <c r="I246" s="2" t="str">
        <f>IFERROR(__xludf.DUMMYFUNCTION("INDEX(SPLIT(A246, ""/""), 0, 2)"),"random")</f>
        <v>random</v>
      </c>
      <c r="J246" s="2" t="b">
        <f t="shared" si="1"/>
        <v>1</v>
      </c>
    </row>
    <row r="247">
      <c r="A247" s="1" t="s">
        <v>2415</v>
      </c>
      <c r="B247" s="3">
        <v>40.0</v>
      </c>
      <c r="C247" s="3">
        <v>60.0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2" t="str">
        <f>IFERROR(__xludf.DUMMYFUNCTION("INDEX(SPLIT(A247, ""/""), 0, 2)"),"random")</f>
        <v>random</v>
      </c>
      <c r="J247" s="2" t="b">
        <f t="shared" si="1"/>
        <v>0</v>
      </c>
    </row>
    <row r="248">
      <c r="A248" s="1" t="s">
        <v>2416</v>
      </c>
      <c r="B248" s="3">
        <v>30000.0</v>
      </c>
      <c r="C248" s="3">
        <v>60.0</v>
      </c>
      <c r="D248" s="3" t="s">
        <v>28</v>
      </c>
      <c r="E248" s="3">
        <v>1455.0</v>
      </c>
      <c r="F248" s="3">
        <v>2567.0</v>
      </c>
      <c r="G248" s="3">
        <v>91.0</v>
      </c>
      <c r="H248" s="3">
        <v>19.0</v>
      </c>
      <c r="I248" s="2" t="str">
        <f>IFERROR(__xludf.DUMMYFUNCTION("INDEX(SPLIT(A248, ""/""), 0, 2)"),"random")</f>
        <v>random</v>
      </c>
      <c r="J248" s="2" t="b">
        <f t="shared" si="1"/>
        <v>1</v>
      </c>
    </row>
    <row r="249">
      <c r="A249" s="1" t="s">
        <v>2417</v>
      </c>
      <c r="B249" s="3">
        <v>51.0</v>
      </c>
      <c r="C249" s="3">
        <v>60.0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2" t="str">
        <f>IFERROR(__xludf.DUMMYFUNCTION("INDEX(SPLIT(A249, ""/""), 0, 2)"),"random")</f>
        <v>random</v>
      </c>
      <c r="J249" s="2" t="b">
        <f t="shared" si="1"/>
        <v>0</v>
      </c>
    </row>
    <row r="250">
      <c r="A250" s="1" t="s">
        <v>2418</v>
      </c>
      <c r="B250" s="3">
        <v>400.0</v>
      </c>
      <c r="C250" s="3">
        <v>60.0</v>
      </c>
      <c r="D250" s="3">
        <v>15.0</v>
      </c>
      <c r="E250" s="3">
        <v>0.0</v>
      </c>
      <c r="F250" s="3">
        <v>0.0</v>
      </c>
      <c r="G250" s="3">
        <v>0.0</v>
      </c>
      <c r="H250" s="3">
        <v>0.0</v>
      </c>
      <c r="I250" s="2" t="str">
        <f>IFERROR(__xludf.DUMMYFUNCTION("INDEX(SPLIT(A250, ""/""), 0, 2)"),"random")</f>
        <v>random</v>
      </c>
      <c r="J250" s="2" t="b">
        <f t="shared" si="1"/>
        <v>1</v>
      </c>
    </row>
    <row r="251">
      <c r="A251" s="1" t="s">
        <v>2419</v>
      </c>
      <c r="B251" s="3">
        <v>20000.0</v>
      </c>
      <c r="C251" s="3">
        <v>60.0</v>
      </c>
      <c r="D251" s="3">
        <v>17866.0</v>
      </c>
      <c r="E251" s="3">
        <v>23.0</v>
      </c>
      <c r="F251" s="3">
        <v>20.0</v>
      </c>
      <c r="G251" s="3">
        <v>119.0</v>
      </c>
      <c r="H251" s="3">
        <v>15.0</v>
      </c>
      <c r="I251" s="2" t="str">
        <f>IFERROR(__xludf.DUMMYFUNCTION("INDEX(SPLIT(A251, ""/""), 0, 2)"),"random")</f>
        <v>random</v>
      </c>
      <c r="J251" s="2" t="b">
        <f t="shared" si="1"/>
        <v>1</v>
      </c>
    </row>
    <row r="252">
      <c r="A252" s="1" t="s">
        <v>2420</v>
      </c>
      <c r="B252" s="3">
        <v>20.0</v>
      </c>
      <c r="C252" s="3">
        <v>60.0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2" t="str">
        <f>IFERROR(__xludf.DUMMYFUNCTION("INDEX(SPLIT(A252, ""/""), 0, 2)"),"random")</f>
        <v>random</v>
      </c>
      <c r="J252" s="2" t="b">
        <f t="shared" si="1"/>
        <v>0</v>
      </c>
    </row>
    <row r="253">
      <c r="A253" s="1" t="s">
        <v>2421</v>
      </c>
      <c r="B253" s="3">
        <v>900.0</v>
      </c>
      <c r="C253" s="3">
        <v>60.0</v>
      </c>
      <c r="D253" s="3">
        <v>122.0</v>
      </c>
      <c r="E253" s="3">
        <v>1.0</v>
      </c>
      <c r="F253" s="3">
        <v>2.0</v>
      </c>
      <c r="G253" s="3">
        <v>2.0</v>
      </c>
      <c r="H253" s="3">
        <v>0.0</v>
      </c>
      <c r="I253" s="2" t="str">
        <f>IFERROR(__xludf.DUMMYFUNCTION("INDEX(SPLIT(A253, ""/""), 0, 2)"),"random")</f>
        <v>random</v>
      </c>
      <c r="J253" s="2" t="b">
        <f t="shared" si="1"/>
        <v>1</v>
      </c>
    </row>
    <row r="254">
      <c r="A254" s="1" t="s">
        <v>2422</v>
      </c>
      <c r="B254" s="3">
        <v>20879.0</v>
      </c>
      <c r="C254" s="3">
        <v>60.0</v>
      </c>
      <c r="D254" s="3" t="s">
        <v>28</v>
      </c>
      <c r="E254" s="3">
        <v>305.0</v>
      </c>
      <c r="F254" s="3">
        <v>419.0</v>
      </c>
      <c r="G254" s="3">
        <v>11.0</v>
      </c>
      <c r="H254" s="3">
        <v>4.0</v>
      </c>
      <c r="I254" s="2" t="str">
        <f>IFERROR(__xludf.DUMMYFUNCTION("INDEX(SPLIT(A254, ""/""), 0, 2)"),"random")</f>
        <v>random</v>
      </c>
      <c r="J254" s="2" t="b">
        <f t="shared" si="1"/>
        <v>1</v>
      </c>
    </row>
    <row r="255">
      <c r="A255" s="1" t="s">
        <v>2423</v>
      </c>
      <c r="B255" s="3">
        <v>60000.0</v>
      </c>
      <c r="C255" s="3">
        <v>60.0</v>
      </c>
      <c r="D255" s="3" t="s">
        <v>28</v>
      </c>
      <c r="E255" s="3">
        <v>77.0</v>
      </c>
      <c r="F255" s="3">
        <v>70.0</v>
      </c>
      <c r="G255" s="3">
        <v>410.0</v>
      </c>
      <c r="H255" s="3">
        <v>53.0</v>
      </c>
      <c r="I255" s="2" t="str">
        <f>IFERROR(__xludf.DUMMYFUNCTION("INDEX(SPLIT(A255, ""/""), 0, 2)"),"random")</f>
        <v>random</v>
      </c>
      <c r="J255" s="2" t="b">
        <f t="shared" si="1"/>
        <v>1</v>
      </c>
    </row>
    <row r="256">
      <c r="A256" s="1" t="s">
        <v>2424</v>
      </c>
      <c r="B256" s="3">
        <v>92955.0</v>
      </c>
      <c r="C256" s="3">
        <v>60.0</v>
      </c>
      <c r="D256" s="3" t="s">
        <v>28</v>
      </c>
      <c r="E256" s="3">
        <v>4171.0</v>
      </c>
      <c r="F256" s="3">
        <v>6820.0</v>
      </c>
      <c r="G256" s="3">
        <v>43.0</v>
      </c>
      <c r="H256" s="3">
        <v>20.0</v>
      </c>
      <c r="I256" s="2" t="str">
        <f>IFERROR(__xludf.DUMMYFUNCTION("INDEX(SPLIT(A256, ""/""), 0, 2)"),"random")</f>
        <v>random</v>
      </c>
      <c r="J256" s="2" t="b">
        <f t="shared" si="1"/>
        <v>1</v>
      </c>
    </row>
    <row r="257">
      <c r="A257" s="1" t="s">
        <v>2425</v>
      </c>
      <c r="B257" s="3">
        <v>110000.0</v>
      </c>
      <c r="C257" s="3">
        <v>60.0</v>
      </c>
      <c r="D257" s="3" t="s">
        <v>28</v>
      </c>
      <c r="E257" s="3">
        <v>15993.0</v>
      </c>
      <c r="F257" s="3">
        <v>23321.0</v>
      </c>
      <c r="G257" s="3">
        <v>104.0</v>
      </c>
      <c r="H257" s="3">
        <v>35.0</v>
      </c>
      <c r="I257" s="2" t="str">
        <f>IFERROR(__xludf.DUMMYFUNCTION("INDEX(SPLIT(A257, ""/""), 0, 2)"),"random")</f>
        <v>random</v>
      </c>
      <c r="J257" s="2" t="b">
        <f t="shared" si="1"/>
        <v>1</v>
      </c>
    </row>
    <row r="258">
      <c r="A258" s="1" t="s">
        <v>2426</v>
      </c>
      <c r="B258" s="3">
        <v>272480.0</v>
      </c>
      <c r="C258" s="3">
        <v>60.0</v>
      </c>
      <c r="D258" s="3" t="s">
        <v>28</v>
      </c>
      <c r="E258" s="3">
        <v>13253.0</v>
      </c>
      <c r="F258" s="3">
        <v>35989.0</v>
      </c>
      <c r="G258" s="3">
        <v>96.0</v>
      </c>
      <c r="H258" s="3">
        <v>59.0</v>
      </c>
      <c r="I258" s="2" t="str">
        <f>IFERROR(__xludf.DUMMYFUNCTION("INDEX(SPLIT(A258, ""/""), 0, 2)"),"random")</f>
        <v>random</v>
      </c>
      <c r="J258" s="2" t="b">
        <f t="shared" si="1"/>
        <v>1</v>
      </c>
    </row>
    <row r="259">
      <c r="A259" s="1" t="s">
        <v>2427</v>
      </c>
      <c r="B259" s="3">
        <v>330000.0</v>
      </c>
      <c r="C259" s="3">
        <v>60.0</v>
      </c>
      <c r="D259" s="3" t="s">
        <v>28</v>
      </c>
      <c r="E259" s="3" t="s">
        <v>28</v>
      </c>
      <c r="F259" s="3" t="s">
        <v>28</v>
      </c>
      <c r="G259" s="3">
        <v>475.0</v>
      </c>
      <c r="H259" s="3">
        <v>150.0</v>
      </c>
      <c r="I259" s="2" t="str">
        <f>IFERROR(__xludf.DUMMYFUNCTION("INDEX(SPLIT(A259, ""/""), 0, 2)"),"random")</f>
        <v>random</v>
      </c>
      <c r="J259" s="2" t="b">
        <f t="shared" si="1"/>
        <v>1</v>
      </c>
    </row>
    <row r="260">
      <c r="A260" s="1" t="s">
        <v>2428</v>
      </c>
      <c r="B260" s="3">
        <v>200000.0</v>
      </c>
      <c r="C260" s="3">
        <v>60.0</v>
      </c>
      <c r="D260" s="3" t="s">
        <v>28</v>
      </c>
      <c r="E260" s="3">
        <v>311.0</v>
      </c>
      <c r="F260" s="3">
        <v>290.0</v>
      </c>
      <c r="G260" s="3">
        <v>1542.0</v>
      </c>
      <c r="H260" s="3">
        <v>202.0</v>
      </c>
      <c r="I260" s="2" t="str">
        <f>IFERROR(__xludf.DUMMYFUNCTION("INDEX(SPLIT(A260, ""/""), 0, 2)"),"random")</f>
        <v>random</v>
      </c>
      <c r="J260" s="2" t="b">
        <f t="shared" si="1"/>
        <v>1</v>
      </c>
    </row>
    <row r="261">
      <c r="A261" s="1" t="s">
        <v>2429</v>
      </c>
      <c r="B261" s="3">
        <v>10.0</v>
      </c>
      <c r="C261" s="3">
        <v>60.0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2" t="str">
        <f>IFERROR(__xludf.DUMMYFUNCTION("INDEX(SPLIT(A261, ""/""), 0, 2)"),"random")</f>
        <v>random</v>
      </c>
      <c r="J261" s="2" t="b">
        <f t="shared" si="1"/>
        <v>0</v>
      </c>
    </row>
    <row r="262">
      <c r="A262" s="1" t="s">
        <v>2430</v>
      </c>
      <c r="B262" s="3">
        <v>4000.0</v>
      </c>
      <c r="C262" s="3">
        <v>60.0</v>
      </c>
      <c r="D262" s="3">
        <v>13485.0</v>
      </c>
      <c r="E262" s="3">
        <v>30.0</v>
      </c>
      <c r="F262" s="3">
        <v>51.0</v>
      </c>
      <c r="G262" s="3">
        <v>8.0</v>
      </c>
      <c r="H262" s="3">
        <v>1.0</v>
      </c>
      <c r="I262" s="2" t="str">
        <f>IFERROR(__xludf.DUMMYFUNCTION("INDEX(SPLIT(A262, ""/""), 0, 2)"),"random")</f>
        <v>random</v>
      </c>
      <c r="J262" s="2" t="b">
        <f t="shared" si="1"/>
        <v>1</v>
      </c>
    </row>
    <row r="263">
      <c r="A263" s="1" t="s">
        <v>2431</v>
      </c>
      <c r="B263" s="3">
        <v>9000.0</v>
      </c>
      <c r="C263" s="3">
        <v>60.0</v>
      </c>
      <c r="D263" s="3" t="s">
        <v>28</v>
      </c>
      <c r="E263" s="3">
        <v>126.0</v>
      </c>
      <c r="F263" s="3">
        <v>215.0</v>
      </c>
      <c r="G263" s="3">
        <v>23.0</v>
      </c>
      <c r="H263" s="3">
        <v>4.0</v>
      </c>
      <c r="I263" s="2" t="str">
        <f>IFERROR(__xludf.DUMMYFUNCTION("INDEX(SPLIT(A263, ""/""), 0, 2)"),"random")</f>
        <v>random</v>
      </c>
      <c r="J263" s="2" t="b">
        <f t="shared" si="1"/>
        <v>1</v>
      </c>
    </row>
    <row r="264">
      <c r="A264" s="1" t="s">
        <v>2432</v>
      </c>
      <c r="B264" s="3">
        <v>400000.0</v>
      </c>
      <c r="C264" s="3">
        <v>60.0</v>
      </c>
      <c r="D264" s="3" t="s">
        <v>28</v>
      </c>
      <c r="E264" s="3" t="s">
        <v>28</v>
      </c>
      <c r="F264" s="3" t="s">
        <v>28</v>
      </c>
      <c r="G264" s="3">
        <v>1420.0</v>
      </c>
      <c r="H264" s="3">
        <v>324.0</v>
      </c>
      <c r="I264" s="2" t="str">
        <f>IFERROR(__xludf.DUMMYFUNCTION("INDEX(SPLIT(A264, ""/""), 0, 2)"),"random")</f>
        <v>random</v>
      </c>
      <c r="J264" s="2" t="b">
        <f t="shared" si="1"/>
        <v>1</v>
      </c>
    </row>
    <row r="265">
      <c r="A265" s="1" t="s">
        <v>2433</v>
      </c>
      <c r="B265" s="3">
        <v>60.0</v>
      </c>
      <c r="C265" s="3">
        <v>60.0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2" t="str">
        <f>IFERROR(__xludf.DUMMYFUNCTION("INDEX(SPLIT(A265, ""/""), 0, 2)"),"random")</f>
        <v>random</v>
      </c>
      <c r="J265" s="2" t="b">
        <f t="shared" si="1"/>
        <v>0</v>
      </c>
    </row>
    <row r="266">
      <c r="A266" s="1" t="s">
        <v>2434</v>
      </c>
      <c r="B266" s="3">
        <v>321.0</v>
      </c>
      <c r="C266" s="3">
        <v>60.0</v>
      </c>
      <c r="D266" s="3">
        <v>7.0</v>
      </c>
      <c r="E266" s="3">
        <v>0.0</v>
      </c>
      <c r="F266" s="3">
        <v>0.0</v>
      </c>
      <c r="G266" s="3">
        <v>0.0</v>
      </c>
      <c r="H266" s="3">
        <v>0.0</v>
      </c>
      <c r="I266" s="2" t="str">
        <f>IFERROR(__xludf.DUMMYFUNCTION("INDEX(SPLIT(A266, ""/""), 0, 2)"),"random")</f>
        <v>random</v>
      </c>
      <c r="J266" s="2" t="b">
        <f t="shared" si="1"/>
        <v>0</v>
      </c>
    </row>
    <row r="267">
      <c r="A267" s="1" t="s">
        <v>2435</v>
      </c>
      <c r="B267" s="3">
        <v>11000.0</v>
      </c>
      <c r="C267" s="3">
        <v>60.0</v>
      </c>
      <c r="D267" s="3">
        <v>50046.0</v>
      </c>
      <c r="E267" s="3">
        <v>150.0</v>
      </c>
      <c r="F267" s="3">
        <v>207.0</v>
      </c>
      <c r="G267" s="3">
        <v>9.0</v>
      </c>
      <c r="H267" s="3">
        <v>3.0</v>
      </c>
      <c r="I267" s="2" t="str">
        <f>IFERROR(__xludf.DUMMYFUNCTION("INDEX(SPLIT(A267, ""/""), 0, 2)"),"random")</f>
        <v>random</v>
      </c>
      <c r="J267" s="2" t="b">
        <f t="shared" si="1"/>
        <v>1</v>
      </c>
    </row>
    <row r="268">
      <c r="A268" s="1" t="s">
        <v>2436</v>
      </c>
      <c r="B268" s="3">
        <v>4000.0</v>
      </c>
      <c r="C268" s="3">
        <v>60.0</v>
      </c>
      <c r="D268" s="3">
        <v>12849.0</v>
      </c>
      <c r="E268" s="3">
        <v>29.0</v>
      </c>
      <c r="F268" s="3">
        <v>52.0</v>
      </c>
      <c r="G268" s="3">
        <v>8.0</v>
      </c>
      <c r="H268" s="3">
        <v>2.0</v>
      </c>
      <c r="I268" s="2" t="str">
        <f>IFERROR(__xludf.DUMMYFUNCTION("INDEX(SPLIT(A268, ""/""), 0, 2)"),"random")</f>
        <v>random</v>
      </c>
      <c r="J268" s="2" t="b">
        <f t="shared" si="1"/>
        <v>1</v>
      </c>
    </row>
    <row r="269">
      <c r="A269" s="1" t="s">
        <v>2437</v>
      </c>
      <c r="B269" s="3">
        <v>120.0</v>
      </c>
      <c r="C269" s="3">
        <v>60.0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2" t="str">
        <f>IFERROR(__xludf.DUMMYFUNCTION("INDEX(SPLIT(A269, ""/""), 0, 2)"),"random")</f>
        <v>random</v>
      </c>
      <c r="J269" s="2" t="b">
        <f t="shared" si="1"/>
        <v>0</v>
      </c>
    </row>
    <row r="270">
      <c r="A270" s="1" t="s">
        <v>2438</v>
      </c>
      <c r="B270" s="3">
        <v>90.0</v>
      </c>
      <c r="C270" s="3">
        <v>60.0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2" t="str">
        <f>IFERROR(__xludf.DUMMYFUNCTION("INDEX(SPLIT(A270, ""/""), 0, 2)"),"random")</f>
        <v>random</v>
      </c>
      <c r="J270" s="2" t="b">
        <f t="shared" si="1"/>
        <v>0</v>
      </c>
    </row>
    <row r="271">
      <c r="A271" s="1" t="s">
        <v>2439</v>
      </c>
      <c r="B271" s="3">
        <v>110.0</v>
      </c>
      <c r="C271" s="3">
        <v>60.0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2" t="str">
        <f>IFERROR(__xludf.DUMMYFUNCTION("INDEX(SPLIT(A271, ""/""), 0, 2)"),"random")</f>
        <v>random</v>
      </c>
      <c r="J271" s="2" t="b">
        <f t="shared" si="1"/>
        <v>0</v>
      </c>
    </row>
    <row r="272">
      <c r="A272" s="1" t="s">
        <v>2440</v>
      </c>
      <c r="B272" s="3">
        <v>196.0</v>
      </c>
      <c r="C272" s="3">
        <v>60.0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  <c r="I272" s="2" t="str">
        <f>IFERROR(__xludf.DUMMYFUNCTION("INDEX(SPLIT(A272, ""/""), 0, 2)"),"random")</f>
        <v>random</v>
      </c>
      <c r="J272" s="2" t="b">
        <f t="shared" si="1"/>
        <v>0</v>
      </c>
    </row>
    <row r="273">
      <c r="A273" s="1" t="s">
        <v>2441</v>
      </c>
      <c r="B273" s="3">
        <v>1010423.0</v>
      </c>
      <c r="C273" s="3">
        <v>60.0</v>
      </c>
      <c r="D273" s="3" t="s">
        <v>28</v>
      </c>
      <c r="E273" s="3" t="s">
        <v>28</v>
      </c>
      <c r="F273" s="3" t="s">
        <v>28</v>
      </c>
      <c r="G273" s="3">
        <v>360.0</v>
      </c>
      <c r="H273" s="3">
        <v>220.0</v>
      </c>
      <c r="I273" s="2" t="str">
        <f>IFERROR(__xludf.DUMMYFUNCTION("INDEX(SPLIT(A273, ""/""), 0, 2)"),"random")</f>
        <v>random</v>
      </c>
      <c r="J273" s="2" t="b">
        <f t="shared" si="1"/>
        <v>1</v>
      </c>
    </row>
    <row r="274">
      <c r="A274" s="1" t="s">
        <v>2442</v>
      </c>
      <c r="B274" s="3">
        <v>60000.0</v>
      </c>
      <c r="C274" s="3">
        <v>60.0</v>
      </c>
      <c r="D274" s="3" t="s">
        <v>28</v>
      </c>
      <c r="E274" s="3">
        <v>77.0</v>
      </c>
      <c r="F274" s="3">
        <v>68.0</v>
      </c>
      <c r="G274" s="3">
        <v>385.0</v>
      </c>
      <c r="H274" s="3">
        <v>54.0</v>
      </c>
      <c r="I274" s="2" t="str">
        <f>IFERROR(__xludf.DUMMYFUNCTION("INDEX(SPLIT(A274, ""/""), 0, 2)"),"random")</f>
        <v>random</v>
      </c>
      <c r="J274" s="2" t="b">
        <f t="shared" si="1"/>
        <v>1</v>
      </c>
    </row>
    <row r="275">
      <c r="A275" s="1" t="s">
        <v>2443</v>
      </c>
      <c r="B275" s="3">
        <v>3011659.0</v>
      </c>
      <c r="C275" s="3">
        <v>60.0</v>
      </c>
      <c r="D275" s="3" t="s">
        <v>28</v>
      </c>
      <c r="E275" s="3" t="s">
        <v>28</v>
      </c>
      <c r="F275" s="3" t="s">
        <v>28</v>
      </c>
      <c r="G275" s="3">
        <v>979.0</v>
      </c>
      <c r="H275" s="3">
        <v>671.0</v>
      </c>
      <c r="I275" s="2" t="str">
        <f>IFERROR(__xludf.DUMMYFUNCTION("INDEX(SPLIT(A275, ""/""), 0, 2)"),"random")</f>
        <v>random</v>
      </c>
      <c r="J275" s="2" t="b">
        <f t="shared" si="1"/>
        <v>1</v>
      </c>
    </row>
    <row r="276">
      <c r="A276" s="1" t="s">
        <v>2444</v>
      </c>
      <c r="B276" s="3">
        <v>399.0</v>
      </c>
      <c r="C276" s="3">
        <v>60.0</v>
      </c>
      <c r="D276" s="3">
        <v>12.0</v>
      </c>
      <c r="E276" s="3">
        <v>0.0</v>
      </c>
      <c r="F276" s="3">
        <v>0.0</v>
      </c>
      <c r="G276" s="3">
        <v>0.0</v>
      </c>
      <c r="H276" s="3">
        <v>0.0</v>
      </c>
      <c r="I276" s="2" t="str">
        <f>IFERROR(__xludf.DUMMYFUNCTION("INDEX(SPLIT(A276, ""/""), 0, 2)"),"random")</f>
        <v>random</v>
      </c>
      <c r="J276" s="2" t="b">
        <f t="shared" si="1"/>
        <v>1</v>
      </c>
    </row>
    <row r="277">
      <c r="A277" s="1" t="s">
        <v>2445</v>
      </c>
      <c r="B277" s="3">
        <v>2010924.0</v>
      </c>
      <c r="C277" s="3">
        <v>60.0</v>
      </c>
      <c r="D277" s="3" t="s">
        <v>28</v>
      </c>
      <c r="E277" s="3" t="s">
        <v>28</v>
      </c>
      <c r="F277" s="3" t="s">
        <v>28</v>
      </c>
      <c r="G277" s="3">
        <v>637.0</v>
      </c>
      <c r="H277" s="3">
        <v>441.0</v>
      </c>
      <c r="I277" s="2" t="str">
        <f>IFERROR(__xludf.DUMMYFUNCTION("INDEX(SPLIT(A277, ""/""), 0, 2)"),"random")</f>
        <v>random</v>
      </c>
      <c r="J277" s="2" t="b">
        <f t="shared" si="1"/>
        <v>1</v>
      </c>
    </row>
    <row r="278">
      <c r="A278" s="1" t="s">
        <v>2446</v>
      </c>
      <c r="B278" s="3">
        <v>12000.0</v>
      </c>
      <c r="C278" s="3">
        <v>60.0</v>
      </c>
      <c r="D278" s="3" t="s">
        <v>28</v>
      </c>
      <c r="E278" s="3">
        <v>270.0</v>
      </c>
      <c r="F278" s="3">
        <v>486.0</v>
      </c>
      <c r="G278" s="3">
        <v>23.0</v>
      </c>
      <c r="H278" s="3">
        <v>5.0</v>
      </c>
      <c r="I278" s="2" t="str">
        <f>IFERROR(__xludf.DUMMYFUNCTION("INDEX(SPLIT(A278, ""/""), 0, 2)"),"random")</f>
        <v>random</v>
      </c>
      <c r="J278" s="2" t="b">
        <f t="shared" si="1"/>
        <v>1</v>
      </c>
    </row>
    <row r="279">
      <c r="A279" s="1" t="s">
        <v>2447</v>
      </c>
      <c r="B279" s="3">
        <v>12.0</v>
      </c>
      <c r="C279" s="3">
        <v>60.0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2" t="str">
        <f>IFERROR(__xludf.DUMMYFUNCTION("INDEX(SPLIT(A279, ""/""), 0, 2)"),"random")</f>
        <v>random</v>
      </c>
      <c r="J279" s="2" t="b">
        <f t="shared" si="1"/>
        <v>0</v>
      </c>
    </row>
    <row r="280">
      <c r="A280" s="1" t="s">
        <v>2448</v>
      </c>
      <c r="B280" s="3">
        <v>3000.0</v>
      </c>
      <c r="C280" s="3">
        <v>60.0</v>
      </c>
      <c r="D280" s="3">
        <v>5108.0</v>
      </c>
      <c r="E280" s="3">
        <v>14.0</v>
      </c>
      <c r="F280" s="3">
        <v>25.0</v>
      </c>
      <c r="G280" s="3">
        <v>7.0</v>
      </c>
      <c r="H280" s="3">
        <v>1.0</v>
      </c>
      <c r="I280" s="2" t="str">
        <f>IFERROR(__xludf.DUMMYFUNCTION("INDEX(SPLIT(A280, ""/""), 0, 2)"),"random")</f>
        <v>random</v>
      </c>
      <c r="J280" s="2" t="b">
        <f t="shared" si="1"/>
        <v>1</v>
      </c>
    </row>
    <row r="281">
      <c r="A281" s="1" t="s">
        <v>2449</v>
      </c>
      <c r="B281" s="3">
        <v>110000.0</v>
      </c>
      <c r="C281" s="3">
        <v>60.0</v>
      </c>
      <c r="D281" s="3" t="s">
        <v>28</v>
      </c>
      <c r="E281" s="3">
        <v>16282.0</v>
      </c>
      <c r="F281" s="3">
        <v>22880.0</v>
      </c>
      <c r="G281" s="3">
        <v>104.0</v>
      </c>
      <c r="H281" s="3">
        <v>36.0</v>
      </c>
      <c r="I281" s="2" t="str">
        <f>IFERROR(__xludf.DUMMYFUNCTION("INDEX(SPLIT(A281, ""/""), 0, 2)"),"random")</f>
        <v>random</v>
      </c>
      <c r="J281" s="2" t="b">
        <f t="shared" si="1"/>
        <v>1</v>
      </c>
    </row>
    <row r="282">
      <c r="A282" s="1" t="s">
        <v>2450</v>
      </c>
      <c r="B282" s="3">
        <v>2902.0</v>
      </c>
      <c r="C282" s="3">
        <v>60.0</v>
      </c>
      <c r="D282" s="3">
        <v>1129.0</v>
      </c>
      <c r="E282" s="3">
        <v>10.0</v>
      </c>
      <c r="F282" s="3">
        <v>14.0</v>
      </c>
      <c r="G282" s="3">
        <v>2.0</v>
      </c>
      <c r="H282" s="3">
        <v>0.0</v>
      </c>
      <c r="I282" s="2" t="str">
        <f>IFERROR(__xludf.DUMMYFUNCTION("INDEX(SPLIT(A282, ""/""), 0, 2)"),"random")</f>
        <v>random</v>
      </c>
      <c r="J282" s="2" t="b">
        <f t="shared" si="1"/>
        <v>1</v>
      </c>
    </row>
    <row r="283">
      <c r="A283" s="1" t="s">
        <v>2451</v>
      </c>
      <c r="B283" s="3">
        <v>6000.0</v>
      </c>
      <c r="C283" s="3">
        <v>60.0</v>
      </c>
      <c r="D283" s="3">
        <v>1538.0</v>
      </c>
      <c r="E283" s="3">
        <v>6.0</v>
      </c>
      <c r="F283" s="3">
        <v>5.0</v>
      </c>
      <c r="G283" s="3">
        <v>33.0</v>
      </c>
      <c r="H283" s="3">
        <v>4.0</v>
      </c>
      <c r="I283" s="2" t="str">
        <f>IFERROR(__xludf.DUMMYFUNCTION("INDEX(SPLIT(A283, ""/""), 0, 2)"),"random")</f>
        <v>random</v>
      </c>
      <c r="J283" s="2" t="b">
        <f t="shared" si="1"/>
        <v>1</v>
      </c>
    </row>
    <row r="284">
      <c r="A284" s="1" t="s">
        <v>2452</v>
      </c>
      <c r="B284" s="3">
        <v>55.0</v>
      </c>
      <c r="C284" s="3">
        <v>60.0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2" t="str">
        <f>IFERROR(__xludf.DUMMYFUNCTION("INDEX(SPLIT(A284, ""/""), 0, 2)"),"random")</f>
        <v>random</v>
      </c>
      <c r="J284" s="2" t="b">
        <f t="shared" si="1"/>
        <v>0</v>
      </c>
    </row>
    <row r="285">
      <c r="A285" s="1" t="s">
        <v>2453</v>
      </c>
      <c r="B285" s="3">
        <v>300.0</v>
      </c>
      <c r="C285" s="3">
        <v>60.0</v>
      </c>
      <c r="D285" s="3">
        <v>6.0</v>
      </c>
      <c r="E285" s="3">
        <v>0.0</v>
      </c>
      <c r="F285" s="3">
        <v>0.0</v>
      </c>
      <c r="G285" s="3">
        <v>0.0</v>
      </c>
      <c r="H285" s="3">
        <v>0.0</v>
      </c>
      <c r="I285" s="2" t="str">
        <f>IFERROR(__xludf.DUMMYFUNCTION("INDEX(SPLIT(A285, ""/""), 0, 2)"),"random")</f>
        <v>random</v>
      </c>
      <c r="J285" s="2" t="b">
        <f t="shared" si="1"/>
        <v>0</v>
      </c>
    </row>
    <row r="286">
      <c r="A286" s="1" t="s">
        <v>2454</v>
      </c>
      <c r="B286" s="3">
        <v>40000.0</v>
      </c>
      <c r="C286" s="3">
        <v>60.0</v>
      </c>
      <c r="D286" s="3" t="s">
        <v>28</v>
      </c>
      <c r="E286" s="3">
        <v>3308.0</v>
      </c>
      <c r="F286" s="3">
        <v>5654.0</v>
      </c>
      <c r="G286" s="3">
        <v>82.0</v>
      </c>
      <c r="H286" s="3">
        <v>17.0</v>
      </c>
      <c r="I286" s="2" t="str">
        <f>IFERROR(__xludf.DUMMYFUNCTION("INDEX(SPLIT(A286, ""/""), 0, 2)"),"random")</f>
        <v>random</v>
      </c>
      <c r="J286" s="2" t="b">
        <f t="shared" si="1"/>
        <v>1</v>
      </c>
    </row>
    <row r="287">
      <c r="A287" s="1" t="s">
        <v>2455</v>
      </c>
      <c r="B287" s="3">
        <v>21037.0</v>
      </c>
      <c r="C287" s="3">
        <v>60.0</v>
      </c>
      <c r="D287" s="3" t="s">
        <v>28</v>
      </c>
      <c r="E287" s="3">
        <v>304.0</v>
      </c>
      <c r="F287" s="3">
        <v>422.0</v>
      </c>
      <c r="G287" s="3">
        <v>11.0</v>
      </c>
      <c r="H287" s="3">
        <v>4.0</v>
      </c>
      <c r="I287" s="2" t="str">
        <f>IFERROR(__xludf.DUMMYFUNCTION("INDEX(SPLIT(A287, ""/""), 0, 2)"),"random")</f>
        <v>random</v>
      </c>
      <c r="J287" s="2" t="b">
        <f t="shared" si="1"/>
        <v>1</v>
      </c>
    </row>
    <row r="288">
      <c r="A288" s="1" t="s">
        <v>2456</v>
      </c>
      <c r="B288" s="3">
        <v>400.0</v>
      </c>
      <c r="C288" s="3">
        <v>60.0</v>
      </c>
      <c r="D288" s="3">
        <v>15.0</v>
      </c>
      <c r="E288" s="3">
        <v>0.0</v>
      </c>
      <c r="F288" s="3">
        <v>0.0</v>
      </c>
      <c r="G288" s="3">
        <v>0.0</v>
      </c>
      <c r="H288" s="3">
        <v>0.0</v>
      </c>
      <c r="I288" s="2" t="str">
        <f>IFERROR(__xludf.DUMMYFUNCTION("INDEX(SPLIT(A288, ""/""), 0, 2)"),"random")</f>
        <v>random</v>
      </c>
      <c r="J288" s="2" t="b">
        <f t="shared" si="1"/>
        <v>1</v>
      </c>
    </row>
    <row r="289">
      <c r="A289" s="1" t="s">
        <v>2457</v>
      </c>
      <c r="B289" s="3">
        <v>30.0</v>
      </c>
      <c r="C289" s="3">
        <v>60.0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2" t="str">
        <f>IFERROR(__xludf.DUMMYFUNCTION("INDEX(SPLIT(A289, ""/""), 0, 2)"),"random")</f>
        <v>random</v>
      </c>
      <c r="J289" s="2" t="b">
        <f t="shared" si="1"/>
        <v>0</v>
      </c>
    </row>
    <row r="290">
      <c r="A290" s="1" t="s">
        <v>2458</v>
      </c>
      <c r="B290" s="3">
        <v>60000.0</v>
      </c>
      <c r="C290" s="3">
        <v>60.0</v>
      </c>
      <c r="D290" s="3" t="s">
        <v>28</v>
      </c>
      <c r="E290" s="3">
        <v>75.0</v>
      </c>
      <c r="F290" s="3">
        <v>69.0</v>
      </c>
      <c r="G290" s="3">
        <v>387.0</v>
      </c>
      <c r="H290" s="3">
        <v>52.0</v>
      </c>
      <c r="I290" s="2" t="str">
        <f>IFERROR(__xludf.DUMMYFUNCTION("INDEX(SPLIT(A290, ""/""), 0, 2)"),"random")</f>
        <v>random</v>
      </c>
      <c r="J290" s="2" t="b">
        <f t="shared" si="1"/>
        <v>1</v>
      </c>
    </row>
    <row r="291">
      <c r="A291" s="1" t="s">
        <v>2459</v>
      </c>
      <c r="B291" s="3">
        <v>120000.0</v>
      </c>
      <c r="C291" s="3">
        <v>60.0</v>
      </c>
      <c r="D291" s="3" t="s">
        <v>28</v>
      </c>
      <c r="E291" s="3">
        <v>31756.0</v>
      </c>
      <c r="F291" s="3">
        <v>56191.0</v>
      </c>
      <c r="G291" s="3">
        <v>305.0</v>
      </c>
      <c r="H291" s="3">
        <v>71.0</v>
      </c>
      <c r="I291" s="2" t="str">
        <f>IFERROR(__xludf.DUMMYFUNCTION("INDEX(SPLIT(A291, ""/""), 0, 2)"),"random")</f>
        <v>random</v>
      </c>
      <c r="J291" s="2" t="b">
        <f t="shared" si="1"/>
        <v>1</v>
      </c>
    </row>
    <row r="292">
      <c r="A292" s="1" t="s">
        <v>2460</v>
      </c>
      <c r="B292" s="3">
        <v>1100.0</v>
      </c>
      <c r="C292" s="3">
        <v>60.0</v>
      </c>
      <c r="D292" s="3">
        <v>49.0</v>
      </c>
      <c r="E292" s="3">
        <v>1.0</v>
      </c>
      <c r="F292" s="3">
        <v>2.0</v>
      </c>
      <c r="G292" s="3">
        <v>0.0</v>
      </c>
      <c r="H292" s="3">
        <v>0.0</v>
      </c>
      <c r="I292" s="2" t="str">
        <f>IFERROR(__xludf.DUMMYFUNCTION("INDEX(SPLIT(A292, ""/""), 0, 2)"),"random")</f>
        <v>random</v>
      </c>
      <c r="J292" s="2" t="b">
        <f t="shared" si="1"/>
        <v>1</v>
      </c>
    </row>
    <row r="293">
      <c r="A293" s="1" t="s">
        <v>2461</v>
      </c>
      <c r="B293" s="3">
        <v>11068.0</v>
      </c>
      <c r="C293" s="3">
        <v>60.0</v>
      </c>
      <c r="D293" s="3">
        <v>50694.0</v>
      </c>
      <c r="E293" s="3">
        <v>148.0</v>
      </c>
      <c r="F293" s="3">
        <v>200.0</v>
      </c>
      <c r="G293" s="3">
        <v>8.0</v>
      </c>
      <c r="H293" s="3">
        <v>2.0</v>
      </c>
      <c r="I293" s="2" t="str">
        <f>IFERROR(__xludf.DUMMYFUNCTION("INDEX(SPLIT(A293, ""/""), 0, 2)"),"random")</f>
        <v>random</v>
      </c>
      <c r="J293" s="2" t="b">
        <f t="shared" si="1"/>
        <v>1</v>
      </c>
    </row>
    <row r="294">
      <c r="A294" s="1" t="s">
        <v>2462</v>
      </c>
      <c r="B294" s="3">
        <v>1100000.0</v>
      </c>
      <c r="C294" s="3">
        <v>60.0</v>
      </c>
      <c r="D294" s="3" t="s">
        <v>28</v>
      </c>
      <c r="E294" s="3" t="s">
        <v>28</v>
      </c>
      <c r="F294" s="3" t="s">
        <v>28</v>
      </c>
      <c r="G294" s="3">
        <v>1541.0</v>
      </c>
      <c r="H294" s="3">
        <v>468.0</v>
      </c>
      <c r="I294" s="2" t="str">
        <f>IFERROR(__xludf.DUMMYFUNCTION("INDEX(SPLIT(A294, ""/""), 0, 2)"),"random")</f>
        <v>random</v>
      </c>
      <c r="J294" s="2" t="b">
        <f t="shared" si="1"/>
        <v>1</v>
      </c>
    </row>
    <row r="295">
      <c r="A295" s="1" t="s">
        <v>2463</v>
      </c>
      <c r="B295" s="3">
        <v>20.0</v>
      </c>
      <c r="C295" s="3">
        <v>60.0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2" t="str">
        <f>IFERROR(__xludf.DUMMYFUNCTION("INDEX(SPLIT(A295, ""/""), 0, 2)"),"random")</f>
        <v>random</v>
      </c>
      <c r="J295" s="2" t="b">
        <f t="shared" si="1"/>
        <v>0</v>
      </c>
    </row>
    <row r="296">
      <c r="A296" s="1" t="s">
        <v>2464</v>
      </c>
      <c r="B296" s="3">
        <v>3300.0</v>
      </c>
      <c r="C296" s="3">
        <v>60.0</v>
      </c>
      <c r="D296" s="3">
        <v>1330.0</v>
      </c>
      <c r="E296" s="3">
        <v>12.0</v>
      </c>
      <c r="F296" s="3">
        <v>17.0</v>
      </c>
      <c r="G296" s="3">
        <v>2.0</v>
      </c>
      <c r="H296" s="3">
        <v>1.0</v>
      </c>
      <c r="I296" s="2" t="str">
        <f>IFERROR(__xludf.DUMMYFUNCTION("INDEX(SPLIT(A296, ""/""), 0, 2)"),"random")</f>
        <v>random</v>
      </c>
      <c r="J296" s="2" t="b">
        <f t="shared" si="1"/>
        <v>1</v>
      </c>
    </row>
    <row r="297">
      <c r="A297" s="1" t="s">
        <v>2465</v>
      </c>
      <c r="B297" s="3">
        <v>273736.0</v>
      </c>
      <c r="C297" s="3">
        <v>60.0</v>
      </c>
      <c r="D297" s="3" t="s">
        <v>28</v>
      </c>
      <c r="E297" s="3">
        <v>12806.0</v>
      </c>
      <c r="F297" s="3">
        <v>36262.0</v>
      </c>
      <c r="G297" s="3">
        <v>97.0</v>
      </c>
      <c r="H297" s="3">
        <v>58.0</v>
      </c>
      <c r="I297" s="2" t="str">
        <f>IFERROR(__xludf.DUMMYFUNCTION("INDEX(SPLIT(A297, ""/""), 0, 2)"),"random")</f>
        <v>random</v>
      </c>
      <c r="J297" s="2" t="b">
        <f t="shared" si="1"/>
        <v>1</v>
      </c>
    </row>
    <row r="298">
      <c r="A298" s="1" t="s">
        <v>2466</v>
      </c>
      <c r="B298" s="3">
        <v>1200.0</v>
      </c>
      <c r="C298" s="3">
        <v>60.0</v>
      </c>
      <c r="D298" s="3">
        <v>342.0</v>
      </c>
      <c r="E298" s="3">
        <v>2.0</v>
      </c>
      <c r="F298" s="3">
        <v>5.0</v>
      </c>
      <c r="G298" s="3">
        <v>2.0</v>
      </c>
      <c r="H298" s="3">
        <v>0.0</v>
      </c>
      <c r="I298" s="2" t="str">
        <f>IFERROR(__xludf.DUMMYFUNCTION("INDEX(SPLIT(A298, ""/""), 0, 2)"),"random")</f>
        <v>random</v>
      </c>
      <c r="J298" s="2" t="b">
        <f t="shared" si="1"/>
        <v>1</v>
      </c>
    </row>
    <row r="299">
      <c r="A299" s="1" t="s">
        <v>2467</v>
      </c>
      <c r="B299" s="3">
        <v>30000.0</v>
      </c>
      <c r="C299" s="3">
        <v>60.0</v>
      </c>
      <c r="D299" s="3" t="s">
        <v>28</v>
      </c>
      <c r="E299" s="3">
        <v>1428.0</v>
      </c>
      <c r="F299" s="3">
        <v>2511.0</v>
      </c>
      <c r="G299" s="3">
        <v>82.0</v>
      </c>
      <c r="H299" s="3">
        <v>17.0</v>
      </c>
      <c r="I299" s="2" t="str">
        <f>IFERROR(__xludf.DUMMYFUNCTION("INDEX(SPLIT(A299, ""/""), 0, 2)"),"random")</f>
        <v>random</v>
      </c>
      <c r="J299" s="2" t="b">
        <f t="shared" si="1"/>
        <v>1</v>
      </c>
    </row>
    <row r="300">
      <c r="A300" s="1" t="s">
        <v>2468</v>
      </c>
      <c r="B300" s="3">
        <v>37.0</v>
      </c>
      <c r="C300" s="3">
        <v>60.0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2" t="str">
        <f>IFERROR(__xludf.DUMMYFUNCTION("INDEX(SPLIT(A300, ""/""), 0, 2)"),"random")</f>
        <v>random</v>
      </c>
      <c r="J300" s="2" t="b">
        <f t="shared" si="1"/>
        <v>0</v>
      </c>
    </row>
    <row r="301">
      <c r="A301" s="1" t="s">
        <v>2469</v>
      </c>
      <c r="B301" s="3">
        <v>200.0</v>
      </c>
      <c r="C301" s="3">
        <v>60.0</v>
      </c>
      <c r="D301" s="3">
        <v>1.0</v>
      </c>
      <c r="E301" s="3">
        <v>0.0</v>
      </c>
      <c r="F301" s="3">
        <v>0.0</v>
      </c>
      <c r="G301" s="3">
        <v>0.0</v>
      </c>
      <c r="H301" s="3">
        <v>0.0</v>
      </c>
      <c r="I301" s="2" t="str">
        <f>IFERROR(__xludf.DUMMYFUNCTION("INDEX(SPLIT(A301, ""/""), 0, 2)"),"random")</f>
        <v>random</v>
      </c>
      <c r="J301" s="2" t="b">
        <f t="shared" si="1"/>
        <v>0</v>
      </c>
    </row>
    <row r="302">
      <c r="A302" s="1" t="s">
        <v>2470</v>
      </c>
      <c r="B302" s="3">
        <v>55.0</v>
      </c>
      <c r="C302" s="3">
        <v>60.0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2" t="str">
        <f>IFERROR(__xludf.DUMMYFUNCTION("INDEX(SPLIT(A302, ""/""), 0, 2)"),"random")</f>
        <v>random</v>
      </c>
      <c r="J302" s="2" t="b">
        <f t="shared" si="1"/>
        <v>0</v>
      </c>
    </row>
    <row r="303">
      <c r="A303" s="1" t="s">
        <v>2471</v>
      </c>
      <c r="B303" s="3">
        <v>400.0</v>
      </c>
      <c r="C303" s="3">
        <v>60.0</v>
      </c>
      <c r="D303" s="3">
        <v>15.0</v>
      </c>
      <c r="E303" s="3">
        <v>0.0</v>
      </c>
      <c r="F303" s="3">
        <v>0.0</v>
      </c>
      <c r="G303" s="3">
        <v>0.0</v>
      </c>
      <c r="H303" s="3">
        <v>0.0</v>
      </c>
      <c r="I303" s="2" t="str">
        <f>IFERROR(__xludf.DUMMYFUNCTION("INDEX(SPLIT(A303, ""/""), 0, 2)"),"random")</f>
        <v>random</v>
      </c>
      <c r="J303" s="2" t="b">
        <f t="shared" si="1"/>
        <v>1</v>
      </c>
    </row>
    <row r="304">
      <c r="A304" s="1" t="s">
        <v>2472</v>
      </c>
      <c r="B304" s="3">
        <v>1010257.0</v>
      </c>
      <c r="C304" s="3">
        <v>60.0</v>
      </c>
      <c r="D304" s="3" t="s">
        <v>28</v>
      </c>
      <c r="E304" s="3" t="s">
        <v>28</v>
      </c>
      <c r="F304" s="3" t="s">
        <v>28</v>
      </c>
      <c r="G304" s="3">
        <v>360.0</v>
      </c>
      <c r="H304" s="3">
        <v>222.0</v>
      </c>
      <c r="I304" s="2" t="str">
        <f>IFERROR(__xludf.DUMMYFUNCTION("INDEX(SPLIT(A304, ""/""), 0, 2)"),"random")</f>
        <v>random</v>
      </c>
      <c r="J304" s="2" t="b">
        <f t="shared" si="1"/>
        <v>1</v>
      </c>
    </row>
    <row r="305">
      <c r="A305" s="1" t="s">
        <v>2473</v>
      </c>
      <c r="B305" s="3">
        <v>300000.0</v>
      </c>
      <c r="C305" s="3">
        <v>60.0</v>
      </c>
      <c r="D305" s="3" t="s">
        <v>28</v>
      </c>
      <c r="E305" s="3" t="s">
        <v>28</v>
      </c>
      <c r="F305" s="3" t="s">
        <v>28</v>
      </c>
      <c r="G305" s="3">
        <v>1202.0</v>
      </c>
      <c r="H305" s="3">
        <v>249.0</v>
      </c>
      <c r="I305" s="2" t="str">
        <f>IFERROR(__xludf.DUMMYFUNCTION("INDEX(SPLIT(A305, ""/""), 0, 2)"),"random")</f>
        <v>random</v>
      </c>
      <c r="J305" s="2" t="b">
        <f t="shared" si="1"/>
        <v>1</v>
      </c>
    </row>
    <row r="306">
      <c r="A306" s="1" t="s">
        <v>2474</v>
      </c>
      <c r="B306" s="3">
        <v>1236.0</v>
      </c>
      <c r="C306" s="3">
        <v>60.0</v>
      </c>
      <c r="D306" s="3">
        <v>302.0</v>
      </c>
      <c r="E306" s="3">
        <v>3.0</v>
      </c>
      <c r="F306" s="3">
        <v>5.0</v>
      </c>
      <c r="G306" s="3">
        <v>2.0</v>
      </c>
      <c r="H306" s="3">
        <v>0.0</v>
      </c>
      <c r="I306" s="2" t="str">
        <f>IFERROR(__xludf.DUMMYFUNCTION("INDEX(SPLIT(A306, ""/""), 0, 2)"),"random")</f>
        <v>random</v>
      </c>
      <c r="J306" s="2" t="b">
        <f t="shared" si="1"/>
        <v>1</v>
      </c>
    </row>
    <row r="307">
      <c r="A307" s="1" t="s">
        <v>2475</v>
      </c>
      <c r="B307" s="3">
        <v>330.0</v>
      </c>
      <c r="C307" s="3">
        <v>60.0</v>
      </c>
      <c r="D307" s="3">
        <v>1.0</v>
      </c>
      <c r="E307" s="3">
        <v>0.0</v>
      </c>
      <c r="F307" s="3">
        <v>0.0</v>
      </c>
      <c r="G307" s="3">
        <v>0.0</v>
      </c>
      <c r="H307" s="3">
        <v>0.0</v>
      </c>
      <c r="I307" s="2" t="str">
        <f>IFERROR(__xludf.DUMMYFUNCTION("INDEX(SPLIT(A307, ""/""), 0, 2)"),"random")</f>
        <v>random</v>
      </c>
      <c r="J307" s="2" t="b">
        <f t="shared" si="1"/>
        <v>0</v>
      </c>
    </row>
    <row r="308">
      <c r="A308" s="1" t="s">
        <v>2476</v>
      </c>
      <c r="B308" s="3">
        <v>407.0</v>
      </c>
      <c r="C308" s="3">
        <v>60.0</v>
      </c>
      <c r="D308" s="3">
        <v>13.0</v>
      </c>
      <c r="E308" s="3">
        <v>0.0</v>
      </c>
      <c r="F308" s="3">
        <v>0.0</v>
      </c>
      <c r="G308" s="3">
        <v>0.0</v>
      </c>
      <c r="H308" s="3">
        <v>0.0</v>
      </c>
      <c r="I308" s="2" t="str">
        <f>IFERROR(__xludf.DUMMYFUNCTION("INDEX(SPLIT(A308, ""/""), 0, 2)"),"random")</f>
        <v>random</v>
      </c>
      <c r="J308" s="2" t="b">
        <f t="shared" si="1"/>
        <v>1</v>
      </c>
    </row>
    <row r="309">
      <c r="A309" s="1" t="s">
        <v>2477</v>
      </c>
      <c r="B309" s="3">
        <v>3000.0</v>
      </c>
      <c r="C309" s="3">
        <v>60.0</v>
      </c>
      <c r="D309" s="3">
        <v>5112.0</v>
      </c>
      <c r="E309" s="3">
        <v>14.0</v>
      </c>
      <c r="F309" s="3">
        <v>23.0</v>
      </c>
      <c r="G309" s="3">
        <v>8.0</v>
      </c>
      <c r="H309" s="3">
        <v>1.0</v>
      </c>
      <c r="I309" s="2" t="str">
        <f>IFERROR(__xludf.DUMMYFUNCTION("INDEX(SPLIT(A309, ""/""), 0, 2)"),"random")</f>
        <v>random</v>
      </c>
      <c r="J309" s="2" t="b">
        <f t="shared" si="1"/>
        <v>1</v>
      </c>
    </row>
    <row r="310">
      <c r="A310" s="1" t="s">
        <v>2478</v>
      </c>
      <c r="B310" s="3">
        <v>33000.0</v>
      </c>
      <c r="C310" s="3">
        <v>60.0</v>
      </c>
      <c r="D310" s="3" t="s">
        <v>28</v>
      </c>
      <c r="E310" s="3">
        <v>1368.0</v>
      </c>
      <c r="F310" s="3">
        <v>1969.0</v>
      </c>
      <c r="G310" s="3">
        <v>29.0</v>
      </c>
      <c r="H310" s="3">
        <v>10.0</v>
      </c>
      <c r="I310" s="2" t="str">
        <f>IFERROR(__xludf.DUMMYFUNCTION("INDEX(SPLIT(A310, ""/""), 0, 2)"),"random")</f>
        <v>random</v>
      </c>
      <c r="J310" s="2" t="b">
        <f t="shared" si="1"/>
        <v>1</v>
      </c>
    </row>
    <row r="311">
      <c r="A311" s="1" t="s">
        <v>2479</v>
      </c>
      <c r="B311" s="3">
        <v>200000.0</v>
      </c>
      <c r="C311" s="3">
        <v>60.0</v>
      </c>
      <c r="D311" s="3" t="s">
        <v>28</v>
      </c>
      <c r="E311" s="3">
        <v>313.0</v>
      </c>
      <c r="F311" s="3">
        <v>286.0</v>
      </c>
      <c r="G311" s="3">
        <v>1538.0</v>
      </c>
      <c r="H311" s="3">
        <v>201.0</v>
      </c>
      <c r="I311" s="2" t="str">
        <f>IFERROR(__xludf.DUMMYFUNCTION("INDEX(SPLIT(A311, ""/""), 0, 2)"),"random")</f>
        <v>random</v>
      </c>
      <c r="J311" s="2" t="b">
        <f t="shared" si="1"/>
        <v>1</v>
      </c>
    </row>
    <row r="312">
      <c r="A312" s="1" t="s">
        <v>2480</v>
      </c>
      <c r="B312" s="3">
        <v>2037.0</v>
      </c>
      <c r="C312" s="3">
        <v>60.0</v>
      </c>
      <c r="D312" s="3">
        <v>808.0</v>
      </c>
      <c r="E312" s="3">
        <v>7.0</v>
      </c>
      <c r="F312" s="3">
        <v>10.0</v>
      </c>
      <c r="G312" s="3">
        <v>2.0</v>
      </c>
      <c r="H312" s="3">
        <v>0.0</v>
      </c>
      <c r="I312" s="2" t="str">
        <f>IFERROR(__xludf.DUMMYFUNCTION("INDEX(SPLIT(A312, ""/""), 0, 2)"),"random")</f>
        <v>random</v>
      </c>
      <c r="J312" s="2" t="b">
        <f t="shared" si="1"/>
        <v>1</v>
      </c>
    </row>
    <row r="313">
      <c r="A313" s="1" t="s">
        <v>2481</v>
      </c>
      <c r="B313" s="3">
        <v>15.0</v>
      </c>
      <c r="C313" s="3">
        <v>60.0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2" t="str">
        <f>IFERROR(__xludf.DUMMYFUNCTION("INDEX(SPLIT(A313, ""/""), 0, 2)"),"random")</f>
        <v>random</v>
      </c>
      <c r="J313" s="2" t="b">
        <f t="shared" si="1"/>
        <v>0</v>
      </c>
    </row>
    <row r="314">
      <c r="A314" s="1" t="s">
        <v>2482</v>
      </c>
      <c r="B314" s="3">
        <v>2000.0</v>
      </c>
      <c r="C314" s="3">
        <v>60.0</v>
      </c>
      <c r="D314" s="3">
        <v>164.0</v>
      </c>
      <c r="E314" s="3">
        <v>2.0</v>
      </c>
      <c r="F314" s="3">
        <v>1.0</v>
      </c>
      <c r="G314" s="3">
        <v>10.0</v>
      </c>
      <c r="H314" s="3">
        <v>1.0</v>
      </c>
      <c r="I314" s="2" t="str">
        <f>IFERROR(__xludf.DUMMYFUNCTION("INDEX(SPLIT(A314, ""/""), 0, 2)"),"random")</f>
        <v>random</v>
      </c>
      <c r="J314" s="2" t="b">
        <f t="shared" si="1"/>
        <v>1</v>
      </c>
    </row>
    <row r="315">
      <c r="A315" s="1" t="s">
        <v>2483</v>
      </c>
      <c r="B315" s="3">
        <v>2010660.0</v>
      </c>
      <c r="C315" s="3">
        <v>60.0</v>
      </c>
      <c r="D315" s="3" t="s">
        <v>28</v>
      </c>
      <c r="E315" s="3" t="s">
        <v>28</v>
      </c>
      <c r="F315" s="3" t="s">
        <v>28</v>
      </c>
      <c r="G315" s="3">
        <v>638.0</v>
      </c>
      <c r="H315" s="3">
        <v>440.0</v>
      </c>
      <c r="I315" s="2" t="str">
        <f>IFERROR(__xludf.DUMMYFUNCTION("INDEX(SPLIT(A315, ""/""), 0, 2)"),"random")</f>
        <v>random</v>
      </c>
      <c r="J315" s="2" t="b">
        <f t="shared" si="1"/>
        <v>1</v>
      </c>
    </row>
    <row r="316">
      <c r="A316" s="1" t="s">
        <v>2484</v>
      </c>
      <c r="B316" s="3">
        <v>52.0</v>
      </c>
      <c r="C316" s="3">
        <v>60.0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2" t="str">
        <f>IFERROR(__xludf.DUMMYFUNCTION("INDEX(SPLIT(A316, ""/""), 0, 2)"),"random")</f>
        <v>random</v>
      </c>
      <c r="J316" s="2" t="b">
        <f t="shared" si="1"/>
        <v>0</v>
      </c>
    </row>
    <row r="317">
      <c r="A317" s="1" t="s">
        <v>2485</v>
      </c>
      <c r="B317" s="3">
        <v>40000.0</v>
      </c>
      <c r="C317" s="3">
        <v>60.0</v>
      </c>
      <c r="D317" s="3" t="s">
        <v>28</v>
      </c>
      <c r="E317" s="3">
        <v>3301.0</v>
      </c>
      <c r="F317" s="3">
        <v>5634.0</v>
      </c>
      <c r="G317" s="3">
        <v>86.0</v>
      </c>
      <c r="H317" s="3">
        <v>21.0</v>
      </c>
      <c r="I317" s="2" t="str">
        <f>IFERROR(__xludf.DUMMYFUNCTION("INDEX(SPLIT(A317, ""/""), 0, 2)"),"random")</f>
        <v>random</v>
      </c>
      <c r="J317" s="2" t="b">
        <f t="shared" si="1"/>
        <v>1</v>
      </c>
    </row>
    <row r="318">
      <c r="A318" s="1" t="s">
        <v>2486</v>
      </c>
      <c r="B318" s="3">
        <v>300.0</v>
      </c>
      <c r="C318" s="3">
        <v>60.0</v>
      </c>
      <c r="D318" s="3">
        <v>6.0</v>
      </c>
      <c r="E318" s="3">
        <v>0.0</v>
      </c>
      <c r="F318" s="3">
        <v>0.0</v>
      </c>
      <c r="G318" s="3">
        <v>0.0</v>
      </c>
      <c r="H318" s="3">
        <v>0.0</v>
      </c>
      <c r="I318" s="2" t="str">
        <f>IFERROR(__xludf.DUMMYFUNCTION("INDEX(SPLIT(A318, ""/""), 0, 2)"),"random")</f>
        <v>random</v>
      </c>
      <c r="J318" s="2" t="b">
        <f t="shared" si="1"/>
        <v>0</v>
      </c>
    </row>
    <row r="319">
      <c r="A319" s="1" t="s">
        <v>2487</v>
      </c>
      <c r="B319" s="3">
        <v>45.0</v>
      </c>
      <c r="C319" s="3">
        <v>60.0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2" t="str">
        <f>IFERROR(__xludf.DUMMYFUNCTION("INDEX(SPLIT(A319, ""/""), 0, 2)"),"random")</f>
        <v>random</v>
      </c>
      <c r="J319" s="2" t="b">
        <f t="shared" si="1"/>
        <v>0</v>
      </c>
    </row>
    <row r="320">
      <c r="A320" s="1" t="s">
        <v>2488</v>
      </c>
      <c r="B320" s="3">
        <v>20000.0</v>
      </c>
      <c r="C320" s="3">
        <v>60.0</v>
      </c>
      <c r="D320" s="3">
        <v>17678.0</v>
      </c>
      <c r="E320" s="3">
        <v>22.0</v>
      </c>
      <c r="F320" s="3">
        <v>20.0</v>
      </c>
      <c r="G320" s="3">
        <v>107.0</v>
      </c>
      <c r="H320" s="3">
        <v>15.0</v>
      </c>
      <c r="I320" s="2" t="str">
        <f>IFERROR(__xludf.DUMMYFUNCTION("INDEX(SPLIT(A320, ""/""), 0, 2)"),"random")</f>
        <v>random</v>
      </c>
      <c r="J320" s="2" t="b">
        <f t="shared" si="1"/>
        <v>1</v>
      </c>
    </row>
    <row r="321">
      <c r="A321" s="1" t="s">
        <v>2489</v>
      </c>
      <c r="B321" s="3">
        <v>330000.0</v>
      </c>
      <c r="C321" s="3">
        <v>60.0</v>
      </c>
      <c r="D321" s="3" t="s">
        <v>28</v>
      </c>
      <c r="E321" s="3" t="s">
        <v>28</v>
      </c>
      <c r="F321" s="3" t="s">
        <v>28</v>
      </c>
      <c r="G321" s="3">
        <v>376.0</v>
      </c>
      <c r="H321" s="3">
        <v>122.0</v>
      </c>
      <c r="I321" s="2" t="str">
        <f>IFERROR(__xludf.DUMMYFUNCTION("INDEX(SPLIT(A321, ""/""), 0, 2)"),"random")</f>
        <v>random</v>
      </c>
      <c r="J321" s="2" t="b">
        <f t="shared" si="1"/>
        <v>1</v>
      </c>
    </row>
    <row r="322">
      <c r="A322" s="1" t="s">
        <v>2490</v>
      </c>
      <c r="B322" s="3">
        <v>1100.0</v>
      </c>
      <c r="C322" s="3">
        <v>60.0</v>
      </c>
      <c r="D322" s="3">
        <v>53.0</v>
      </c>
      <c r="E322" s="3">
        <v>1.0</v>
      </c>
      <c r="F322" s="3">
        <v>2.0</v>
      </c>
      <c r="G322" s="3">
        <v>0.0</v>
      </c>
      <c r="H322" s="3">
        <v>0.0</v>
      </c>
      <c r="I322" s="2" t="str">
        <f>IFERROR(__xludf.DUMMYFUNCTION("INDEX(SPLIT(A322, ""/""), 0, 2)"),"random")</f>
        <v>random</v>
      </c>
      <c r="J322" s="2" t="b">
        <f t="shared" si="1"/>
        <v>1</v>
      </c>
    </row>
    <row r="323">
      <c r="A323" s="1" t="s">
        <v>2491</v>
      </c>
      <c r="B323" s="3">
        <v>110000.0</v>
      </c>
      <c r="C323" s="3">
        <v>60.0</v>
      </c>
      <c r="D323" s="3" t="s">
        <v>28</v>
      </c>
      <c r="E323" s="3">
        <v>16138.0</v>
      </c>
      <c r="F323" s="3">
        <v>22960.0</v>
      </c>
      <c r="G323" s="3">
        <v>103.0</v>
      </c>
      <c r="H323" s="3">
        <v>34.0</v>
      </c>
      <c r="I323" s="2" t="str">
        <f>IFERROR(__xludf.DUMMYFUNCTION("INDEX(SPLIT(A323, ""/""), 0, 2)"),"random")</f>
        <v>random</v>
      </c>
      <c r="J323" s="2" t="b">
        <f t="shared" si="1"/>
        <v>1</v>
      </c>
    </row>
    <row r="324">
      <c r="A324" s="1" t="s">
        <v>2492</v>
      </c>
      <c r="B324" s="3">
        <v>92909.0</v>
      </c>
      <c r="C324" s="3">
        <v>60.0</v>
      </c>
      <c r="D324" s="3" t="s">
        <v>28</v>
      </c>
      <c r="E324" s="3">
        <v>4225.0</v>
      </c>
      <c r="F324" s="3">
        <v>6820.0</v>
      </c>
      <c r="G324" s="3">
        <v>43.0</v>
      </c>
      <c r="H324" s="3">
        <v>20.0</v>
      </c>
      <c r="I324" s="2" t="str">
        <f>IFERROR(__xludf.DUMMYFUNCTION("INDEX(SPLIT(A324, ""/""), 0, 2)"),"random")</f>
        <v>random</v>
      </c>
      <c r="J324" s="2" t="b">
        <f t="shared" si="1"/>
        <v>1</v>
      </c>
    </row>
    <row r="325">
      <c r="A325" s="1" t="s">
        <v>2493</v>
      </c>
      <c r="B325" s="3">
        <v>60000.0</v>
      </c>
      <c r="C325" s="3">
        <v>60.0</v>
      </c>
      <c r="D325" s="3" t="s">
        <v>28</v>
      </c>
      <c r="E325" s="3">
        <v>79.0</v>
      </c>
      <c r="F325" s="3">
        <v>69.0</v>
      </c>
      <c r="G325" s="3">
        <v>402.0</v>
      </c>
      <c r="H325" s="3">
        <v>52.0</v>
      </c>
      <c r="I325" s="2" t="str">
        <f>IFERROR(__xludf.DUMMYFUNCTION("INDEX(SPLIT(A325, ""/""), 0, 2)"),"random")</f>
        <v>random</v>
      </c>
      <c r="J325" s="2" t="b">
        <f t="shared" si="1"/>
        <v>1</v>
      </c>
    </row>
    <row r="326">
      <c r="A326" s="1" t="s">
        <v>2494</v>
      </c>
      <c r="B326" s="3">
        <v>900.0</v>
      </c>
      <c r="C326" s="3">
        <v>60.0</v>
      </c>
      <c r="D326" s="3">
        <v>134.0</v>
      </c>
      <c r="E326" s="3">
        <v>1.0</v>
      </c>
      <c r="F326" s="3">
        <v>2.0</v>
      </c>
      <c r="G326" s="3">
        <v>2.0</v>
      </c>
      <c r="H326" s="3">
        <v>0.0</v>
      </c>
      <c r="I326" s="2" t="str">
        <f>IFERROR(__xludf.DUMMYFUNCTION("INDEX(SPLIT(A326, ""/""), 0, 2)"),"random")</f>
        <v>random</v>
      </c>
      <c r="J326" s="2" t="b">
        <f t="shared" si="1"/>
        <v>1</v>
      </c>
    </row>
    <row r="327">
      <c r="A327" s="1" t="s">
        <v>2495</v>
      </c>
      <c r="B327" s="3">
        <v>40.0</v>
      </c>
      <c r="C327" s="3">
        <v>60.0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2" t="str">
        <f>IFERROR(__xludf.DUMMYFUNCTION("INDEX(SPLIT(A327, ""/""), 0, 2)"),"random")</f>
        <v>random</v>
      </c>
      <c r="J327" s="2" t="b">
        <f t="shared" si="1"/>
        <v>0</v>
      </c>
    </row>
    <row r="328">
      <c r="A328" s="1" t="s">
        <v>2496</v>
      </c>
      <c r="B328" s="3">
        <v>3300.0</v>
      </c>
      <c r="C328" s="3">
        <v>60.0</v>
      </c>
      <c r="D328" s="3">
        <v>1295.0</v>
      </c>
      <c r="E328" s="3">
        <v>13.0</v>
      </c>
      <c r="F328" s="3">
        <v>17.0</v>
      </c>
      <c r="G328" s="3">
        <v>3.0</v>
      </c>
      <c r="H328" s="3">
        <v>1.0</v>
      </c>
      <c r="I328" s="2" t="str">
        <f>IFERROR(__xludf.DUMMYFUNCTION("INDEX(SPLIT(A328, ""/""), 0, 2)"),"random")</f>
        <v>random</v>
      </c>
      <c r="J328" s="2" t="b">
        <f t="shared" si="1"/>
        <v>1</v>
      </c>
    </row>
    <row r="329">
      <c r="A329" s="1" t="s">
        <v>2497</v>
      </c>
      <c r="B329" s="3">
        <v>1200.0</v>
      </c>
      <c r="C329" s="3">
        <v>60.0</v>
      </c>
      <c r="D329" s="3">
        <v>325.0</v>
      </c>
      <c r="E329" s="3">
        <v>2.0</v>
      </c>
      <c r="F329" s="3">
        <v>5.0</v>
      </c>
      <c r="G329" s="3">
        <v>2.0</v>
      </c>
      <c r="H329" s="3">
        <v>0.0</v>
      </c>
      <c r="I329" s="2" t="str">
        <f>IFERROR(__xludf.DUMMYFUNCTION("INDEX(SPLIT(A329, ""/""), 0, 2)"),"random")</f>
        <v>random</v>
      </c>
      <c r="J329" s="2" t="b">
        <f t="shared" si="1"/>
        <v>1</v>
      </c>
    </row>
    <row r="330">
      <c r="A330" s="1" t="s">
        <v>2498</v>
      </c>
      <c r="B330" s="3">
        <v>182487.0</v>
      </c>
      <c r="C330" s="3">
        <v>60.0</v>
      </c>
      <c r="D330" s="3" t="s">
        <v>28</v>
      </c>
      <c r="E330" s="3">
        <v>8442.0</v>
      </c>
      <c r="F330" s="3" t="s">
        <v>28</v>
      </c>
      <c r="G330" s="3">
        <v>137.0</v>
      </c>
      <c r="H330" s="3">
        <v>51.0</v>
      </c>
      <c r="I330" s="2" t="str">
        <f>IFERROR(__xludf.DUMMYFUNCTION("INDEX(SPLIT(A330, ""/""), 0, 2)"),"random")</f>
        <v>random</v>
      </c>
      <c r="J330" s="2" t="b">
        <f t="shared" si="1"/>
        <v>1</v>
      </c>
    </row>
    <row r="331">
      <c r="A331" s="1" t="s">
        <v>2499</v>
      </c>
      <c r="B331" s="3">
        <v>90000.0</v>
      </c>
      <c r="C331" s="3">
        <v>60.0</v>
      </c>
      <c r="D331" s="3" t="s">
        <v>28</v>
      </c>
      <c r="E331" s="3">
        <v>13524.0</v>
      </c>
      <c r="F331" s="3">
        <v>24858.0</v>
      </c>
      <c r="G331" s="3">
        <v>311.0</v>
      </c>
      <c r="H331" s="3">
        <v>67.0</v>
      </c>
      <c r="I331" s="2" t="str">
        <f>IFERROR(__xludf.DUMMYFUNCTION("INDEX(SPLIT(A331, ""/""), 0, 2)"),"random")</f>
        <v>random</v>
      </c>
      <c r="J331" s="2" t="b">
        <f t="shared" si="1"/>
        <v>1</v>
      </c>
    </row>
    <row r="332">
      <c r="A332" s="1" t="s">
        <v>2500</v>
      </c>
      <c r="B332" s="3">
        <v>20.0</v>
      </c>
      <c r="C332" s="3">
        <v>60.0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2" t="str">
        <f>IFERROR(__xludf.DUMMYFUNCTION("INDEX(SPLIT(A332, ""/""), 0, 2)"),"random")</f>
        <v>random</v>
      </c>
      <c r="J332" s="2" t="b">
        <f t="shared" si="1"/>
        <v>0</v>
      </c>
    </row>
    <row r="333">
      <c r="A333" s="1" t="s">
        <v>2501</v>
      </c>
      <c r="B333" s="3">
        <v>9000.0</v>
      </c>
      <c r="C333" s="3">
        <v>60.0</v>
      </c>
      <c r="D333" s="3" t="s">
        <v>28</v>
      </c>
      <c r="E333" s="3">
        <v>127.0</v>
      </c>
      <c r="F333" s="3">
        <v>224.0</v>
      </c>
      <c r="G333" s="3">
        <v>24.0</v>
      </c>
      <c r="H333" s="3">
        <v>4.0</v>
      </c>
      <c r="I333" s="2" t="str">
        <f>IFERROR(__xludf.DUMMYFUNCTION("INDEX(SPLIT(A333, ""/""), 0, 2)"),"random")</f>
        <v>random</v>
      </c>
      <c r="J333" s="2" t="b">
        <f t="shared" si="1"/>
        <v>1</v>
      </c>
    </row>
    <row r="334">
      <c r="A334" s="1" t="s">
        <v>2502</v>
      </c>
      <c r="B334" s="3">
        <v>18.0</v>
      </c>
      <c r="C334" s="3">
        <v>60.0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2" t="str">
        <f>IFERROR(__xludf.DUMMYFUNCTION("INDEX(SPLIT(A334, ""/""), 0, 2)"),"random")</f>
        <v>random</v>
      </c>
      <c r="J334" s="2" t="b">
        <f t="shared" si="1"/>
        <v>0</v>
      </c>
    </row>
    <row r="335">
      <c r="A335" s="1" t="s">
        <v>2503</v>
      </c>
      <c r="B335" s="3">
        <v>400.0</v>
      </c>
      <c r="C335" s="3">
        <v>60.0</v>
      </c>
      <c r="D335" s="3">
        <v>15.0</v>
      </c>
      <c r="E335" s="3">
        <v>0.0</v>
      </c>
      <c r="F335" s="3">
        <v>0.0</v>
      </c>
      <c r="G335" s="3">
        <v>0.0</v>
      </c>
      <c r="H335" s="3">
        <v>0.0</v>
      </c>
      <c r="I335" s="2" t="str">
        <f>IFERROR(__xludf.DUMMYFUNCTION("INDEX(SPLIT(A335, ""/""), 0, 2)"),"random")</f>
        <v>random</v>
      </c>
      <c r="J335" s="2" t="b">
        <f t="shared" si="1"/>
        <v>1</v>
      </c>
    </row>
    <row r="336">
      <c r="A336" s="1" t="s">
        <v>2504</v>
      </c>
      <c r="B336" s="3">
        <v>65.0</v>
      </c>
      <c r="C336" s="3">
        <v>60.0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2" t="str">
        <f>IFERROR(__xludf.DUMMYFUNCTION("INDEX(SPLIT(A336, ""/""), 0, 2)"),"random")</f>
        <v>random</v>
      </c>
      <c r="J336" s="2" t="b">
        <f t="shared" si="1"/>
        <v>0</v>
      </c>
    </row>
    <row r="337">
      <c r="A337" s="1" t="s">
        <v>2505</v>
      </c>
      <c r="B337" s="3">
        <v>30000.0</v>
      </c>
      <c r="C337" s="3">
        <v>60.0</v>
      </c>
      <c r="D337" s="3" t="s">
        <v>28</v>
      </c>
      <c r="E337" s="3">
        <v>1407.0</v>
      </c>
      <c r="F337" s="3">
        <v>2488.0</v>
      </c>
      <c r="G337" s="3">
        <v>200.0</v>
      </c>
      <c r="H337" s="3">
        <v>22.0</v>
      </c>
      <c r="I337" s="2" t="str">
        <f>IFERROR(__xludf.DUMMYFUNCTION("INDEX(SPLIT(A337, ""/""), 0, 2)"),"random")</f>
        <v>random</v>
      </c>
      <c r="J337" s="2" t="b">
        <f t="shared" si="1"/>
        <v>1</v>
      </c>
    </row>
    <row r="338">
      <c r="A338" s="1" t="s">
        <v>2506</v>
      </c>
      <c r="B338" s="3">
        <v>3009318.0</v>
      </c>
      <c r="C338" s="3">
        <v>60.0</v>
      </c>
      <c r="D338" s="3" t="s">
        <v>28</v>
      </c>
      <c r="E338" s="3" t="s">
        <v>28</v>
      </c>
      <c r="F338" s="3" t="s">
        <v>28</v>
      </c>
      <c r="G338" s="3">
        <v>975.0</v>
      </c>
      <c r="H338" s="3">
        <v>664.0</v>
      </c>
      <c r="I338" s="2" t="str">
        <f>IFERROR(__xludf.DUMMYFUNCTION("INDEX(SPLIT(A338, ""/""), 0, 2)"),"random")</f>
        <v>random</v>
      </c>
      <c r="J338" s="2" t="b">
        <f t="shared" si="1"/>
        <v>1</v>
      </c>
    </row>
    <row r="339">
      <c r="A339" s="1" t="s">
        <v>2507</v>
      </c>
      <c r="B339" s="3">
        <v>211.0</v>
      </c>
      <c r="C339" s="3">
        <v>60.0</v>
      </c>
      <c r="D339" s="3">
        <v>1.0</v>
      </c>
      <c r="E339" s="3">
        <v>0.0</v>
      </c>
      <c r="F339" s="3">
        <v>0.0</v>
      </c>
      <c r="G339" s="3">
        <v>0.0</v>
      </c>
      <c r="H339" s="3">
        <v>0.0</v>
      </c>
      <c r="I339" s="2" t="str">
        <f>IFERROR(__xludf.DUMMYFUNCTION("INDEX(SPLIT(A339, ""/""), 0, 2)"),"random")</f>
        <v>random</v>
      </c>
      <c r="J339" s="2" t="b">
        <f t="shared" si="1"/>
        <v>0</v>
      </c>
    </row>
    <row r="340">
      <c r="A340" s="1" t="s">
        <v>2508</v>
      </c>
      <c r="B340" s="3">
        <v>110.0</v>
      </c>
      <c r="C340" s="3">
        <v>60.0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2" t="str">
        <f>IFERROR(__xludf.DUMMYFUNCTION("INDEX(SPLIT(A340, ""/""), 0, 2)"),"random")</f>
        <v>random</v>
      </c>
      <c r="J340" s="2" t="b">
        <f t="shared" si="1"/>
        <v>0</v>
      </c>
    </row>
    <row r="341">
      <c r="A341" s="1" t="s">
        <v>2509</v>
      </c>
      <c r="B341" s="3">
        <v>90.0</v>
      </c>
      <c r="C341" s="3">
        <v>60.0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2" t="str">
        <f>IFERROR(__xludf.DUMMYFUNCTION("INDEX(SPLIT(A341, ""/""), 0, 2)"),"random")</f>
        <v>random</v>
      </c>
      <c r="J341" s="2" t="b">
        <f t="shared" si="1"/>
        <v>0</v>
      </c>
    </row>
    <row r="342">
      <c r="A342" s="1" t="s">
        <v>2510</v>
      </c>
      <c r="B342" s="3">
        <v>6000.0</v>
      </c>
      <c r="C342" s="3">
        <v>60.0</v>
      </c>
      <c r="D342" s="3">
        <v>1521.0</v>
      </c>
      <c r="E342" s="3">
        <v>6.0</v>
      </c>
      <c r="F342" s="3">
        <v>5.0</v>
      </c>
      <c r="G342" s="3">
        <v>30.0</v>
      </c>
      <c r="H342" s="3">
        <v>4.0</v>
      </c>
      <c r="I342" s="2" t="str">
        <f>IFERROR(__xludf.DUMMYFUNCTION("INDEX(SPLIT(A342, ""/""), 0, 2)"),"random")</f>
        <v>random</v>
      </c>
      <c r="J342" s="2" t="b">
        <f t="shared" si="1"/>
        <v>1</v>
      </c>
    </row>
    <row r="343">
      <c r="A343" s="1" t="s">
        <v>2511</v>
      </c>
      <c r="B343" s="3">
        <v>3021.0</v>
      </c>
      <c r="C343" s="3">
        <v>60.0</v>
      </c>
      <c r="D343" s="3">
        <v>1185.0</v>
      </c>
      <c r="E343" s="3">
        <v>11.0</v>
      </c>
      <c r="F343" s="3">
        <v>15.0</v>
      </c>
      <c r="G343" s="3">
        <v>2.0</v>
      </c>
      <c r="H343" s="3">
        <v>0.0</v>
      </c>
      <c r="I343" s="2" t="str">
        <f>IFERROR(__xludf.DUMMYFUNCTION("INDEX(SPLIT(A343, ""/""), 0, 2)"),"random")</f>
        <v>random</v>
      </c>
      <c r="J343" s="2" t="b">
        <f t="shared" si="1"/>
        <v>1</v>
      </c>
    </row>
    <row r="344">
      <c r="A344" s="1" t="s">
        <v>2512</v>
      </c>
      <c r="B344" s="3">
        <v>1195.0</v>
      </c>
      <c r="C344" s="3">
        <v>60.0</v>
      </c>
      <c r="D344" s="3">
        <v>303.0</v>
      </c>
      <c r="E344" s="3">
        <v>3.0</v>
      </c>
      <c r="F344" s="3">
        <v>5.0</v>
      </c>
      <c r="G344" s="3">
        <v>1.0</v>
      </c>
      <c r="H344" s="3">
        <v>0.0</v>
      </c>
      <c r="I344" s="2" t="str">
        <f>IFERROR(__xludf.DUMMYFUNCTION("INDEX(SPLIT(A344, ""/""), 0, 2)"),"random")</f>
        <v>random</v>
      </c>
      <c r="J344" s="2" t="b">
        <f t="shared" si="1"/>
        <v>1</v>
      </c>
    </row>
    <row r="345">
      <c r="A345" s="1" t="s">
        <v>2513</v>
      </c>
      <c r="B345" s="3">
        <v>13.0</v>
      </c>
      <c r="C345" s="3">
        <v>60.0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2" t="str">
        <f>IFERROR(__xludf.DUMMYFUNCTION("INDEX(SPLIT(A345, ""/""), 0, 2)"),"random")</f>
        <v>random</v>
      </c>
      <c r="J345" s="2" t="b">
        <f t="shared" si="1"/>
        <v>0</v>
      </c>
    </row>
    <row r="346">
      <c r="A346" s="1" t="s">
        <v>2514</v>
      </c>
      <c r="B346" s="3">
        <v>9000.0</v>
      </c>
      <c r="C346" s="3">
        <v>60.0</v>
      </c>
      <c r="D346" s="3" t="s">
        <v>28</v>
      </c>
      <c r="E346" s="3">
        <v>125.0</v>
      </c>
      <c r="F346" s="3">
        <v>225.0</v>
      </c>
      <c r="G346" s="3">
        <v>24.0</v>
      </c>
      <c r="H346" s="3">
        <v>4.0</v>
      </c>
      <c r="I346" s="2" t="str">
        <f>IFERROR(__xludf.DUMMYFUNCTION("INDEX(SPLIT(A346, ""/""), 0, 2)"),"random")</f>
        <v>random</v>
      </c>
      <c r="J346" s="2" t="b">
        <f t="shared" si="1"/>
        <v>1</v>
      </c>
    </row>
    <row r="347">
      <c r="A347" s="1" t="s">
        <v>2515</v>
      </c>
      <c r="B347" s="3">
        <v>400000.0</v>
      </c>
      <c r="C347" s="3">
        <v>60.0</v>
      </c>
      <c r="D347" s="3" t="s">
        <v>28</v>
      </c>
      <c r="E347" s="3" t="s">
        <v>28</v>
      </c>
      <c r="F347" s="3" t="s">
        <v>28</v>
      </c>
      <c r="G347" s="3">
        <v>1385.0</v>
      </c>
      <c r="H347" s="3">
        <v>282.0</v>
      </c>
      <c r="I347" s="2" t="str">
        <f>IFERROR(__xludf.DUMMYFUNCTION("INDEX(SPLIT(A347, ""/""), 0, 2)"),"random")</f>
        <v>random</v>
      </c>
      <c r="J347" s="2" t="b">
        <f t="shared" si="1"/>
        <v>1</v>
      </c>
    </row>
    <row r="348">
      <c r="A348" s="1" t="s">
        <v>2516</v>
      </c>
      <c r="B348" s="3">
        <v>3063.0</v>
      </c>
      <c r="C348" s="3">
        <v>60.0</v>
      </c>
      <c r="D348" s="3">
        <v>1239.0</v>
      </c>
      <c r="E348" s="3">
        <v>11.0</v>
      </c>
      <c r="F348" s="3">
        <v>15.0</v>
      </c>
      <c r="G348" s="3">
        <v>2.0</v>
      </c>
      <c r="H348" s="3">
        <v>0.0</v>
      </c>
      <c r="I348" s="2" t="str">
        <f>IFERROR(__xludf.DUMMYFUNCTION("INDEX(SPLIT(A348, ""/""), 0, 2)"),"random")</f>
        <v>random</v>
      </c>
      <c r="J348" s="2" t="b">
        <f t="shared" si="1"/>
        <v>1</v>
      </c>
    </row>
    <row r="349">
      <c r="A349" s="1" t="s">
        <v>2517</v>
      </c>
      <c r="B349" s="3">
        <v>13.0</v>
      </c>
      <c r="C349" s="3">
        <v>60.0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2" t="str">
        <f>IFERROR(__xludf.DUMMYFUNCTION("INDEX(SPLIT(A349, ""/""), 0, 2)"),"random")</f>
        <v>random</v>
      </c>
      <c r="J349" s="2" t="b">
        <f t="shared" si="1"/>
        <v>0</v>
      </c>
    </row>
    <row r="350">
      <c r="A350" s="1" t="s">
        <v>2518</v>
      </c>
      <c r="B350" s="3">
        <v>307.0</v>
      </c>
      <c r="C350" s="3">
        <v>60.0</v>
      </c>
      <c r="D350" s="3">
        <v>5.0</v>
      </c>
      <c r="E350" s="3">
        <v>0.0</v>
      </c>
      <c r="F350" s="3">
        <v>0.0</v>
      </c>
      <c r="G350" s="3">
        <v>0.0</v>
      </c>
      <c r="H350" s="3">
        <v>0.0</v>
      </c>
      <c r="I350" s="2" t="str">
        <f>IFERROR(__xludf.DUMMYFUNCTION("INDEX(SPLIT(A350, ""/""), 0, 2)"),"random")</f>
        <v>random</v>
      </c>
      <c r="J350" s="2" t="b">
        <f t="shared" si="1"/>
        <v>0</v>
      </c>
    </row>
    <row r="351">
      <c r="A351" s="1" t="s">
        <v>2519</v>
      </c>
      <c r="B351" s="3">
        <v>60.0</v>
      </c>
      <c r="C351" s="3">
        <v>60.0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2" t="str">
        <f>IFERROR(__xludf.DUMMYFUNCTION("INDEX(SPLIT(A351, ""/""), 0, 2)"),"random")</f>
        <v>random</v>
      </c>
      <c r="J351" s="2" t="b">
        <f t="shared" si="1"/>
        <v>0</v>
      </c>
    </row>
    <row r="352">
      <c r="A352" s="1" t="s">
        <v>2520</v>
      </c>
      <c r="B352" s="3">
        <v>31060.0</v>
      </c>
      <c r="C352" s="3">
        <v>60.0</v>
      </c>
      <c r="D352" s="3" t="s">
        <v>28</v>
      </c>
      <c r="E352" s="3">
        <v>467.0</v>
      </c>
      <c r="F352" s="3">
        <v>676.0</v>
      </c>
      <c r="G352" s="3">
        <v>14.0</v>
      </c>
      <c r="H352" s="3">
        <v>6.0</v>
      </c>
      <c r="I352" s="2" t="str">
        <f>IFERROR(__xludf.DUMMYFUNCTION("INDEX(SPLIT(A352, ""/""), 0, 2)"),"random")</f>
        <v>random</v>
      </c>
      <c r="J352" s="2" t="b">
        <f t="shared" si="1"/>
        <v>1</v>
      </c>
    </row>
    <row r="353">
      <c r="A353" s="1" t="s">
        <v>2521</v>
      </c>
      <c r="B353" s="3">
        <v>1200.0</v>
      </c>
      <c r="C353" s="3">
        <v>60.0</v>
      </c>
      <c r="D353" s="3">
        <v>359.0</v>
      </c>
      <c r="E353" s="3">
        <v>3.0</v>
      </c>
      <c r="F353" s="3">
        <v>5.0</v>
      </c>
      <c r="G353" s="3">
        <v>2.0</v>
      </c>
      <c r="H353" s="3">
        <v>0.0</v>
      </c>
      <c r="I353" s="2" t="str">
        <f>IFERROR(__xludf.DUMMYFUNCTION("INDEX(SPLIT(A353, ""/""), 0, 2)"),"random")</f>
        <v>random</v>
      </c>
      <c r="J353" s="2" t="b">
        <f t="shared" si="1"/>
        <v>1</v>
      </c>
    </row>
    <row r="354">
      <c r="A354" s="1" t="s">
        <v>2522</v>
      </c>
      <c r="B354" s="3">
        <v>182972.0</v>
      </c>
      <c r="C354" s="3">
        <v>60.0</v>
      </c>
      <c r="D354" s="3" t="s">
        <v>28</v>
      </c>
      <c r="E354" s="3">
        <v>8497.0</v>
      </c>
      <c r="F354" s="3">
        <v>19141.0</v>
      </c>
      <c r="G354" s="3">
        <v>70.0</v>
      </c>
      <c r="H354" s="3">
        <v>39.0</v>
      </c>
      <c r="I354" s="2" t="str">
        <f>IFERROR(__xludf.DUMMYFUNCTION("INDEX(SPLIT(A354, ""/""), 0, 2)"),"random")</f>
        <v>random</v>
      </c>
      <c r="J354" s="2" t="b">
        <f t="shared" si="1"/>
        <v>1</v>
      </c>
    </row>
    <row r="355">
      <c r="A355" s="1" t="s">
        <v>2523</v>
      </c>
      <c r="B355" s="3">
        <v>1100000.0</v>
      </c>
      <c r="C355" s="3">
        <v>60.0</v>
      </c>
      <c r="D355" s="3" t="s">
        <v>28</v>
      </c>
      <c r="E355" s="3" t="s">
        <v>28</v>
      </c>
      <c r="F355" s="3" t="s">
        <v>28</v>
      </c>
      <c r="G355" s="3">
        <v>1976.0</v>
      </c>
      <c r="H355" s="3">
        <v>589.0</v>
      </c>
      <c r="I355" s="2" t="str">
        <f>IFERROR(__xludf.DUMMYFUNCTION("INDEX(SPLIT(A355, ""/""), 0, 2)"),"random")</f>
        <v>random</v>
      </c>
      <c r="J355" s="2" t="b">
        <f t="shared" si="1"/>
        <v>1</v>
      </c>
    </row>
    <row r="356">
      <c r="A356" s="1" t="s">
        <v>2524</v>
      </c>
      <c r="B356" s="3">
        <v>600.0</v>
      </c>
      <c r="C356" s="3">
        <v>60.0</v>
      </c>
      <c r="D356" s="3">
        <v>14.0</v>
      </c>
      <c r="E356" s="3">
        <v>0.0</v>
      </c>
      <c r="F356" s="3">
        <v>0.0</v>
      </c>
      <c r="G356" s="3">
        <v>2.0</v>
      </c>
      <c r="H356" s="3">
        <v>0.0</v>
      </c>
      <c r="I356" s="2" t="str">
        <f>IFERROR(__xludf.DUMMYFUNCTION("INDEX(SPLIT(A356, ""/""), 0, 2)"),"random")</f>
        <v>random</v>
      </c>
      <c r="J356" s="2" t="b">
        <f t="shared" si="1"/>
        <v>1</v>
      </c>
    </row>
    <row r="357">
      <c r="A357" s="1" t="s">
        <v>2525</v>
      </c>
      <c r="B357" s="3">
        <v>11133.0</v>
      </c>
      <c r="C357" s="3">
        <v>60.0</v>
      </c>
      <c r="D357" s="3">
        <v>50326.0</v>
      </c>
      <c r="E357" s="3">
        <v>143.0</v>
      </c>
      <c r="F357" s="3">
        <v>197.0</v>
      </c>
      <c r="G357" s="3">
        <v>8.0</v>
      </c>
      <c r="H357" s="3">
        <v>2.0</v>
      </c>
      <c r="I357" s="2" t="str">
        <f>IFERROR(__xludf.DUMMYFUNCTION("INDEX(SPLIT(A357, ""/""), 0, 2)"),"random")</f>
        <v>random</v>
      </c>
      <c r="J357" s="2" t="b">
        <f t="shared" si="1"/>
        <v>1</v>
      </c>
    </row>
    <row r="358">
      <c r="A358" s="1" t="s">
        <v>2526</v>
      </c>
      <c r="B358" s="3">
        <v>200.0</v>
      </c>
      <c r="C358" s="3">
        <v>60.0</v>
      </c>
      <c r="D358" s="3">
        <v>1.0</v>
      </c>
      <c r="E358" s="3">
        <v>0.0</v>
      </c>
      <c r="F358" s="3">
        <v>0.0</v>
      </c>
      <c r="G358" s="3">
        <v>0.0</v>
      </c>
      <c r="H358" s="3">
        <v>0.0</v>
      </c>
      <c r="I358" s="2" t="str">
        <f>IFERROR(__xludf.DUMMYFUNCTION("INDEX(SPLIT(A358, ""/""), 0, 2)"),"random")</f>
        <v>random</v>
      </c>
      <c r="J358" s="2" t="b">
        <f t="shared" si="1"/>
        <v>0</v>
      </c>
    </row>
    <row r="359">
      <c r="A359" s="1" t="s">
        <v>2527</v>
      </c>
      <c r="B359" s="3">
        <v>43.0</v>
      </c>
      <c r="C359" s="3">
        <v>60.0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2" t="str">
        <f>IFERROR(__xludf.DUMMYFUNCTION("INDEX(SPLIT(A359, ""/""), 0, 2)"),"random")</f>
        <v>random</v>
      </c>
      <c r="J359" s="2" t="b">
        <f t="shared" si="1"/>
        <v>0</v>
      </c>
    </row>
    <row r="360">
      <c r="A360" s="1" t="s">
        <v>2528</v>
      </c>
      <c r="B360" s="3">
        <v>330000.0</v>
      </c>
      <c r="C360" s="3">
        <v>60.0</v>
      </c>
      <c r="D360" s="3" t="s">
        <v>28</v>
      </c>
      <c r="E360" s="3" t="s">
        <v>28</v>
      </c>
      <c r="F360" s="3" t="s">
        <v>28</v>
      </c>
      <c r="G360" s="3">
        <v>390.0</v>
      </c>
      <c r="H360" s="3">
        <v>129.0</v>
      </c>
      <c r="I360" s="2" t="str">
        <f>IFERROR(__xludf.DUMMYFUNCTION("INDEX(SPLIT(A360, ""/""), 0, 2)"),"random")</f>
        <v>random</v>
      </c>
      <c r="J360" s="2" t="b">
        <f t="shared" si="1"/>
        <v>1</v>
      </c>
    </row>
    <row r="361">
      <c r="A361" s="1" t="s">
        <v>2529</v>
      </c>
      <c r="B361" s="3">
        <v>273249.0</v>
      </c>
      <c r="C361" s="3">
        <v>60.0</v>
      </c>
      <c r="D361" s="3" t="s">
        <v>28</v>
      </c>
      <c r="E361" s="3">
        <v>12886.0</v>
      </c>
      <c r="F361" s="3">
        <v>36356.0</v>
      </c>
      <c r="G361" s="3">
        <v>96.0</v>
      </c>
      <c r="H361" s="3">
        <v>58.0</v>
      </c>
      <c r="I361" s="2" t="str">
        <f>IFERROR(__xludf.DUMMYFUNCTION("INDEX(SPLIT(A361, ""/""), 0, 2)"),"random")</f>
        <v>random</v>
      </c>
      <c r="J361" s="2" t="b">
        <f t="shared" si="1"/>
        <v>1</v>
      </c>
    </row>
    <row r="362">
      <c r="A362" s="1" t="s">
        <v>2530</v>
      </c>
      <c r="B362" s="3">
        <v>120000.0</v>
      </c>
      <c r="C362" s="3">
        <v>60.0</v>
      </c>
      <c r="D362" s="3" t="s">
        <v>28</v>
      </c>
      <c r="E362" s="3">
        <v>32198.0</v>
      </c>
      <c r="F362" s="3" t="s">
        <v>28</v>
      </c>
      <c r="G362" s="3">
        <v>365.0</v>
      </c>
      <c r="H362" s="3">
        <v>74.0</v>
      </c>
      <c r="I362" s="2" t="str">
        <f>IFERROR(__xludf.DUMMYFUNCTION("INDEX(SPLIT(A362, ""/""), 0, 2)"),"random")</f>
        <v>random</v>
      </c>
      <c r="J362" s="2" t="b">
        <f t="shared" si="1"/>
        <v>1</v>
      </c>
    </row>
    <row r="363">
      <c r="A363" s="1" t="s">
        <v>2531</v>
      </c>
      <c r="B363" s="3">
        <v>30.0</v>
      </c>
      <c r="C363" s="3">
        <v>60.0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2" t="str">
        <f>IFERROR(__xludf.DUMMYFUNCTION("INDEX(SPLIT(A363, ""/""), 0, 2)"),"random")</f>
        <v>random</v>
      </c>
      <c r="J363" s="2" t="b">
        <f t="shared" si="1"/>
        <v>0</v>
      </c>
    </row>
    <row r="364">
      <c r="A364" s="1" t="s">
        <v>2532</v>
      </c>
      <c r="B364" s="3">
        <v>21162.0</v>
      </c>
      <c r="C364" s="3">
        <v>60.0</v>
      </c>
      <c r="D364" s="3" t="s">
        <v>28</v>
      </c>
      <c r="E364" s="3">
        <v>313.0</v>
      </c>
      <c r="F364" s="3">
        <v>451.0</v>
      </c>
      <c r="G364" s="3">
        <v>11.0</v>
      </c>
      <c r="H364" s="3">
        <v>5.0</v>
      </c>
      <c r="I364" s="2" t="str">
        <f>IFERROR(__xludf.DUMMYFUNCTION("INDEX(SPLIT(A364, ""/""), 0, 2)"),"random")</f>
        <v>random</v>
      </c>
      <c r="J364" s="2" t="b">
        <f t="shared" si="1"/>
        <v>1</v>
      </c>
    </row>
    <row r="365">
      <c r="A365" s="1" t="s">
        <v>2533</v>
      </c>
      <c r="B365" s="3">
        <v>9000.0</v>
      </c>
      <c r="C365" s="3">
        <v>60.0</v>
      </c>
      <c r="D365" s="3" t="s">
        <v>28</v>
      </c>
      <c r="E365" s="3">
        <v>119.0</v>
      </c>
      <c r="F365" s="3">
        <v>215.0</v>
      </c>
      <c r="G365" s="3">
        <v>54.0</v>
      </c>
      <c r="H365" s="3">
        <v>6.0</v>
      </c>
      <c r="I365" s="2" t="str">
        <f>IFERROR(__xludf.DUMMYFUNCTION("INDEX(SPLIT(A365, ""/""), 0, 2)"),"random")</f>
        <v>random</v>
      </c>
      <c r="J365" s="2" t="b">
        <f t="shared" si="1"/>
        <v>1</v>
      </c>
    </row>
    <row r="366">
      <c r="A366" s="1" t="s">
        <v>2534</v>
      </c>
      <c r="B366" s="3">
        <v>2000.0</v>
      </c>
      <c r="C366" s="3">
        <v>60.0</v>
      </c>
      <c r="D366" s="3">
        <v>164.0</v>
      </c>
      <c r="E366" s="3">
        <v>1.0</v>
      </c>
      <c r="F366" s="3">
        <v>1.0</v>
      </c>
      <c r="G366" s="3">
        <v>9.0</v>
      </c>
      <c r="H366" s="3">
        <v>1.0</v>
      </c>
      <c r="I366" s="2" t="str">
        <f>IFERROR(__xludf.DUMMYFUNCTION("INDEX(SPLIT(A366, ""/""), 0, 2)"),"random")</f>
        <v>random</v>
      </c>
      <c r="J366" s="2" t="b">
        <f t="shared" si="1"/>
        <v>1</v>
      </c>
    </row>
    <row r="367">
      <c r="A367" s="1" t="s">
        <v>2535</v>
      </c>
      <c r="B367" s="3">
        <v>14.0</v>
      </c>
      <c r="C367" s="3">
        <v>60.0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2" t="str">
        <f>IFERROR(__xludf.DUMMYFUNCTION("INDEX(SPLIT(A367, ""/""), 0, 2)"),"random")</f>
        <v>random</v>
      </c>
      <c r="J367" s="2" t="b">
        <f t="shared" si="1"/>
        <v>0</v>
      </c>
    </row>
    <row r="368">
      <c r="A368" s="1" t="s">
        <v>2536</v>
      </c>
      <c r="B368" s="3">
        <v>20969.0</v>
      </c>
      <c r="C368" s="3">
        <v>60.0</v>
      </c>
      <c r="D368" s="3" t="s">
        <v>28</v>
      </c>
      <c r="E368" s="3">
        <v>311.0</v>
      </c>
      <c r="F368" s="3">
        <v>429.0</v>
      </c>
      <c r="G368" s="3">
        <v>11.0</v>
      </c>
      <c r="H368" s="3">
        <v>4.0</v>
      </c>
      <c r="I368" s="2" t="str">
        <f>IFERROR(__xludf.DUMMYFUNCTION("INDEX(SPLIT(A368, ""/""), 0, 2)"),"random")</f>
        <v>random</v>
      </c>
      <c r="J368" s="2" t="b">
        <f t="shared" si="1"/>
        <v>1</v>
      </c>
    </row>
    <row r="369">
      <c r="A369" s="1" t="s">
        <v>2537</v>
      </c>
      <c r="B369" s="3">
        <v>2070.0</v>
      </c>
      <c r="C369" s="3">
        <v>60.0</v>
      </c>
      <c r="D369" s="3">
        <v>849.0</v>
      </c>
      <c r="E369" s="3">
        <v>7.0</v>
      </c>
      <c r="F369" s="3">
        <v>11.0</v>
      </c>
      <c r="G369" s="3">
        <v>2.0</v>
      </c>
      <c r="H369" s="3">
        <v>0.0</v>
      </c>
      <c r="I369" s="2" t="str">
        <f>IFERROR(__xludf.DUMMYFUNCTION("INDEX(SPLIT(A369, ""/""), 0, 2)"),"random")</f>
        <v>random</v>
      </c>
      <c r="J369" s="2" t="b">
        <f t="shared" si="1"/>
        <v>1</v>
      </c>
    </row>
    <row r="370">
      <c r="A370" s="1" t="s">
        <v>2538</v>
      </c>
      <c r="B370" s="3">
        <v>11.0</v>
      </c>
      <c r="C370" s="3">
        <v>60.0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2" t="str">
        <f>IFERROR(__xludf.DUMMYFUNCTION("INDEX(SPLIT(A370, ""/""), 0, 2)"),"random")</f>
        <v>random</v>
      </c>
      <c r="J370" s="2" t="b">
        <f t="shared" si="1"/>
        <v>0</v>
      </c>
    </row>
    <row r="371">
      <c r="A371" s="1" t="s">
        <v>2539</v>
      </c>
      <c r="B371" s="3">
        <v>4000.0</v>
      </c>
      <c r="C371" s="3">
        <v>60.0</v>
      </c>
      <c r="D371" s="3">
        <v>13298.0</v>
      </c>
      <c r="E371" s="3">
        <v>31.0</v>
      </c>
      <c r="F371" s="3">
        <v>52.0</v>
      </c>
      <c r="G371" s="3">
        <v>8.0</v>
      </c>
      <c r="H371" s="3">
        <v>1.0</v>
      </c>
      <c r="I371" s="2" t="str">
        <f>IFERROR(__xludf.DUMMYFUNCTION("INDEX(SPLIT(A371, ""/""), 0, 2)"),"random")</f>
        <v>random</v>
      </c>
      <c r="J371" s="2" t="b">
        <f t="shared" si="1"/>
        <v>1</v>
      </c>
    </row>
    <row r="372">
      <c r="A372" s="1" t="s">
        <v>2540</v>
      </c>
      <c r="B372" s="3">
        <v>200000.0</v>
      </c>
      <c r="C372" s="3">
        <v>60.0</v>
      </c>
      <c r="D372" s="3" t="s">
        <v>28</v>
      </c>
      <c r="E372" s="3">
        <v>332.0</v>
      </c>
      <c r="F372" s="3">
        <v>289.0</v>
      </c>
      <c r="G372" s="3">
        <v>1574.0</v>
      </c>
      <c r="H372" s="3">
        <v>205.0</v>
      </c>
      <c r="I372" s="2" t="str">
        <f>IFERROR(__xludf.DUMMYFUNCTION("INDEX(SPLIT(A372, ""/""), 0, 2)"),"random")</f>
        <v>random</v>
      </c>
      <c r="J372" s="2" t="b">
        <f t="shared" si="1"/>
        <v>1</v>
      </c>
    </row>
    <row r="373">
      <c r="A373" s="1" t="s">
        <v>2541</v>
      </c>
      <c r="B373" s="3">
        <v>33000.0</v>
      </c>
      <c r="C373" s="3">
        <v>60.0</v>
      </c>
      <c r="D373" s="3" t="s">
        <v>28</v>
      </c>
      <c r="E373" s="3">
        <v>1349.0</v>
      </c>
      <c r="F373" s="3">
        <v>2013.0</v>
      </c>
      <c r="G373" s="3">
        <v>28.0</v>
      </c>
      <c r="H373" s="3">
        <v>9.0</v>
      </c>
      <c r="I373" s="2" t="str">
        <f>IFERROR(__xludf.DUMMYFUNCTION("INDEX(SPLIT(A373, ""/""), 0, 2)"),"random")</f>
        <v>random</v>
      </c>
      <c r="J373" s="2" t="b">
        <f t="shared" si="1"/>
        <v>1</v>
      </c>
    </row>
    <row r="374">
      <c r="A374" s="1" t="s">
        <v>2542</v>
      </c>
      <c r="B374" s="3">
        <v>120.0</v>
      </c>
      <c r="C374" s="3">
        <v>60.0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2" t="str">
        <f>IFERROR(__xludf.DUMMYFUNCTION("INDEX(SPLIT(A374, ""/""), 0, 2)"),"random")</f>
        <v>random</v>
      </c>
      <c r="J374" s="2" t="b">
        <f t="shared" si="1"/>
        <v>0</v>
      </c>
    </row>
    <row r="375">
      <c r="A375" s="1" t="s">
        <v>2543</v>
      </c>
      <c r="B375" s="3">
        <v>11000.0</v>
      </c>
      <c r="C375" s="3">
        <v>60.0</v>
      </c>
      <c r="D375" s="3" t="s">
        <v>28</v>
      </c>
      <c r="E375" s="3">
        <v>152.0</v>
      </c>
      <c r="F375" s="3">
        <v>221.0</v>
      </c>
      <c r="G375" s="3">
        <v>10.0</v>
      </c>
      <c r="H375" s="3">
        <v>3.0</v>
      </c>
      <c r="I375" s="2" t="str">
        <f>IFERROR(__xludf.DUMMYFUNCTION("INDEX(SPLIT(A375, ""/""), 0, 2)"),"random")</f>
        <v>random</v>
      </c>
      <c r="J375" s="2" t="b">
        <f t="shared" si="1"/>
        <v>1</v>
      </c>
    </row>
    <row r="376">
      <c r="A376" s="1" t="s">
        <v>2544</v>
      </c>
      <c r="B376" s="3">
        <v>296.0</v>
      </c>
      <c r="C376" s="3">
        <v>60.0</v>
      </c>
      <c r="D376" s="3">
        <v>5.0</v>
      </c>
      <c r="E376" s="3">
        <v>0.0</v>
      </c>
      <c r="F376" s="3">
        <v>0.0</v>
      </c>
      <c r="G376" s="3">
        <v>0.0</v>
      </c>
      <c r="H376" s="3">
        <v>0.0</v>
      </c>
      <c r="I376" s="2" t="str">
        <f>IFERROR(__xludf.DUMMYFUNCTION("INDEX(SPLIT(A376, ""/""), 0, 2)"),"random")</f>
        <v>random</v>
      </c>
      <c r="J376" s="2" t="b">
        <f t="shared" si="1"/>
        <v>0</v>
      </c>
    </row>
    <row r="377">
      <c r="A377" s="1" t="s">
        <v>2545</v>
      </c>
      <c r="B377" s="3">
        <v>2009624.0</v>
      </c>
      <c r="C377" s="3">
        <v>60.0</v>
      </c>
      <c r="D377" s="3" t="s">
        <v>28</v>
      </c>
      <c r="E377" s="3" t="s">
        <v>28</v>
      </c>
      <c r="F377" s="3" t="s">
        <v>28</v>
      </c>
      <c r="G377" s="3">
        <v>657.0</v>
      </c>
      <c r="H377" s="3">
        <v>445.0</v>
      </c>
      <c r="I377" s="2" t="str">
        <f>IFERROR(__xludf.DUMMYFUNCTION("INDEX(SPLIT(A377, ""/""), 0, 2)"),"random")</f>
        <v>random</v>
      </c>
      <c r="J377" s="2" t="b">
        <f t="shared" si="1"/>
        <v>1</v>
      </c>
    </row>
    <row r="378">
      <c r="A378" s="1" t="s">
        <v>2546</v>
      </c>
      <c r="B378" s="3">
        <v>414.0</v>
      </c>
      <c r="C378" s="3">
        <v>60.0</v>
      </c>
      <c r="D378" s="3">
        <v>15.0</v>
      </c>
      <c r="E378" s="3">
        <v>0.0</v>
      </c>
      <c r="F378" s="3">
        <v>0.0</v>
      </c>
      <c r="G378" s="3">
        <v>0.0</v>
      </c>
      <c r="H378" s="3">
        <v>0.0</v>
      </c>
      <c r="I378" s="2" t="str">
        <f>IFERROR(__xludf.DUMMYFUNCTION("INDEX(SPLIT(A378, ""/""), 0, 2)"),"random")</f>
        <v>random</v>
      </c>
      <c r="J378" s="2" t="b">
        <f t="shared" si="1"/>
        <v>1</v>
      </c>
    </row>
    <row r="379">
      <c r="A379" s="1" t="s">
        <v>2547</v>
      </c>
      <c r="B379" s="3">
        <v>30000.0</v>
      </c>
      <c r="C379" s="3">
        <v>60.0</v>
      </c>
      <c r="D379" s="3" t="s">
        <v>28</v>
      </c>
      <c r="E379" s="3">
        <v>1420.0</v>
      </c>
      <c r="F379" s="3">
        <v>2530.0</v>
      </c>
      <c r="G379" s="3">
        <v>201.0</v>
      </c>
      <c r="H379" s="3">
        <v>22.0</v>
      </c>
      <c r="I379" s="2" t="str">
        <f>IFERROR(__xludf.DUMMYFUNCTION("INDEX(SPLIT(A379, ""/""), 0, 2)"),"random")</f>
        <v>random</v>
      </c>
      <c r="J379" s="2" t="b">
        <f t="shared" si="1"/>
        <v>1</v>
      </c>
    </row>
    <row r="380">
      <c r="A380" s="1" t="s">
        <v>2548</v>
      </c>
      <c r="B380" s="3">
        <v>90.0</v>
      </c>
      <c r="C380" s="3">
        <v>60.0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2" t="str">
        <f>IFERROR(__xludf.DUMMYFUNCTION("INDEX(SPLIT(A380, ""/""), 0, 2)"),"random")</f>
        <v>random</v>
      </c>
      <c r="J380" s="2" t="b">
        <f t="shared" si="1"/>
        <v>0</v>
      </c>
    </row>
    <row r="381">
      <c r="A381" s="1" t="s">
        <v>2549</v>
      </c>
      <c r="B381" s="3">
        <v>110.0</v>
      </c>
      <c r="C381" s="3">
        <v>60.0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2" t="str">
        <f>IFERROR(__xludf.DUMMYFUNCTION("INDEX(SPLIT(A381, ""/""), 0, 2)"),"random")</f>
        <v>random</v>
      </c>
      <c r="J381" s="2" t="b">
        <f t="shared" si="1"/>
        <v>0</v>
      </c>
    </row>
    <row r="382">
      <c r="A382" s="1" t="s">
        <v>2550</v>
      </c>
      <c r="B382" s="3">
        <v>1009259.0</v>
      </c>
      <c r="C382" s="3">
        <v>60.0</v>
      </c>
      <c r="D382" s="3" t="s">
        <v>28</v>
      </c>
      <c r="E382" s="3" t="s">
        <v>28</v>
      </c>
      <c r="F382" s="3" t="s">
        <v>28</v>
      </c>
      <c r="G382" s="3">
        <v>359.0</v>
      </c>
      <c r="H382" s="3">
        <v>220.0</v>
      </c>
      <c r="I382" s="2" t="str">
        <f>IFERROR(__xludf.DUMMYFUNCTION("INDEX(SPLIT(A382, ""/""), 0, 2)"),"random")</f>
        <v>random</v>
      </c>
      <c r="J382" s="2" t="b">
        <f t="shared" si="1"/>
        <v>1</v>
      </c>
    </row>
    <row r="383">
      <c r="A383" s="1" t="s">
        <v>2551</v>
      </c>
      <c r="B383" s="3">
        <v>3000.0</v>
      </c>
      <c r="C383" s="3">
        <v>60.0</v>
      </c>
      <c r="D383" s="3">
        <v>5285.0</v>
      </c>
      <c r="E383" s="3">
        <v>14.0</v>
      </c>
      <c r="F383" s="3">
        <v>25.0</v>
      </c>
      <c r="G383" s="3">
        <v>7.0</v>
      </c>
      <c r="H383" s="3">
        <v>1.0</v>
      </c>
      <c r="I383" s="2" t="str">
        <f>IFERROR(__xludf.DUMMYFUNCTION("INDEX(SPLIT(A383, ""/""), 0, 2)"),"random")</f>
        <v>random</v>
      </c>
      <c r="J383" s="2" t="b">
        <f t="shared" si="1"/>
        <v>1</v>
      </c>
    </row>
    <row r="384">
      <c r="A384" s="1" t="s">
        <v>2552</v>
      </c>
      <c r="B384" s="3">
        <v>330.0</v>
      </c>
      <c r="C384" s="3">
        <v>60.0</v>
      </c>
      <c r="D384" s="3">
        <v>1.0</v>
      </c>
      <c r="E384" s="3">
        <v>0.0</v>
      </c>
      <c r="F384" s="3">
        <v>0.0</v>
      </c>
      <c r="G384" s="3">
        <v>0.0</v>
      </c>
      <c r="H384" s="3">
        <v>0.0</v>
      </c>
      <c r="I384" s="2" t="str">
        <f>IFERROR(__xludf.DUMMYFUNCTION("INDEX(SPLIT(A384, ""/""), 0, 2)"),"random")</f>
        <v>random</v>
      </c>
      <c r="J384" s="2" t="b">
        <f t="shared" si="1"/>
        <v>0</v>
      </c>
    </row>
    <row r="385">
      <c r="A385" s="1" t="s">
        <v>2553</v>
      </c>
      <c r="B385" s="3">
        <v>1229.0</v>
      </c>
      <c r="C385" s="3">
        <v>60.0</v>
      </c>
      <c r="D385" s="3">
        <v>297.0</v>
      </c>
      <c r="E385" s="3">
        <v>3.0</v>
      </c>
      <c r="F385" s="3">
        <v>5.0</v>
      </c>
      <c r="G385" s="3">
        <v>2.0</v>
      </c>
      <c r="H385" s="3">
        <v>0.0</v>
      </c>
      <c r="I385" s="2" t="str">
        <f>IFERROR(__xludf.DUMMYFUNCTION("INDEX(SPLIT(A385, ""/""), 0, 2)"),"random")</f>
        <v>random</v>
      </c>
      <c r="J385" s="2" t="b">
        <f t="shared" si="1"/>
        <v>1</v>
      </c>
    </row>
    <row r="386">
      <c r="A386" s="1" t="s">
        <v>2554</v>
      </c>
      <c r="B386" s="3">
        <v>300000.0</v>
      </c>
      <c r="C386" s="3">
        <v>60.0</v>
      </c>
      <c r="D386" s="3" t="s">
        <v>28</v>
      </c>
      <c r="E386" s="3" t="s">
        <v>28</v>
      </c>
      <c r="F386" s="3" t="s">
        <v>28</v>
      </c>
      <c r="G386" s="3">
        <v>1119.0</v>
      </c>
      <c r="H386" s="3">
        <v>214.0</v>
      </c>
      <c r="I386" s="2" t="str">
        <f>IFERROR(__xludf.DUMMYFUNCTION("INDEX(SPLIT(A386, ""/""), 0, 2)"),"random")</f>
        <v>random</v>
      </c>
      <c r="J386" s="2" t="b">
        <f t="shared" si="1"/>
        <v>1</v>
      </c>
    </row>
    <row r="387">
      <c r="A387" s="1" t="s">
        <v>2555</v>
      </c>
      <c r="B387" s="3">
        <v>12000.0</v>
      </c>
      <c r="C387" s="3">
        <v>60.0</v>
      </c>
      <c r="D387" s="3" t="s">
        <v>28</v>
      </c>
      <c r="E387" s="3">
        <v>278.0</v>
      </c>
      <c r="F387" s="3">
        <v>488.0</v>
      </c>
      <c r="G387" s="3">
        <v>27.0</v>
      </c>
      <c r="H387" s="3">
        <v>6.0</v>
      </c>
      <c r="I387" s="2" t="str">
        <f>IFERROR(__xludf.DUMMYFUNCTION("INDEX(SPLIT(A387, ""/""), 0, 2)"),"random")</f>
        <v>random</v>
      </c>
      <c r="J387" s="2" t="b">
        <f t="shared" si="1"/>
        <v>1</v>
      </c>
    </row>
    <row r="388">
      <c r="A388" s="1" t="s">
        <v>2556</v>
      </c>
      <c r="B388" s="3">
        <v>200.0</v>
      </c>
      <c r="C388" s="3">
        <v>60.0</v>
      </c>
      <c r="D388" s="3">
        <v>1.0</v>
      </c>
      <c r="E388" s="3">
        <v>0.0</v>
      </c>
      <c r="F388" s="3">
        <v>0.0</v>
      </c>
      <c r="G388" s="3">
        <v>0.0</v>
      </c>
      <c r="H388" s="3">
        <v>0.0</v>
      </c>
      <c r="I388" s="2" t="str">
        <f>IFERROR(__xludf.DUMMYFUNCTION("INDEX(SPLIT(A388, ""/""), 0, 2)"),"random")</f>
        <v>random</v>
      </c>
      <c r="J388" s="2" t="b">
        <f t="shared" si="1"/>
        <v>0</v>
      </c>
    </row>
    <row r="389">
      <c r="A389" s="1" t="s">
        <v>2557</v>
      </c>
      <c r="B389" s="3">
        <v>40.0</v>
      </c>
      <c r="C389" s="3">
        <v>60.0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2" t="str">
        <f>IFERROR(__xludf.DUMMYFUNCTION("INDEX(SPLIT(A389, ""/""), 0, 2)"),"random")</f>
        <v>random</v>
      </c>
      <c r="J389" s="2" t="b">
        <f t="shared" si="1"/>
        <v>0</v>
      </c>
    </row>
    <row r="390">
      <c r="A390" s="1" t="s">
        <v>2558</v>
      </c>
      <c r="B390" s="3">
        <v>3300.0</v>
      </c>
      <c r="C390" s="3">
        <v>60.0</v>
      </c>
      <c r="D390" s="3">
        <v>1333.0</v>
      </c>
      <c r="E390" s="3">
        <v>12.0</v>
      </c>
      <c r="F390" s="3">
        <v>18.0</v>
      </c>
      <c r="G390" s="3">
        <v>2.0</v>
      </c>
      <c r="H390" s="3">
        <v>0.0</v>
      </c>
      <c r="I390" s="2" t="str">
        <f>IFERROR(__xludf.DUMMYFUNCTION("INDEX(SPLIT(A390, ""/""), 0, 2)"),"random")</f>
        <v>random</v>
      </c>
      <c r="J390" s="2" t="b">
        <f t="shared" si="1"/>
        <v>1</v>
      </c>
    </row>
    <row r="391">
      <c r="A391" s="1" t="s">
        <v>2559</v>
      </c>
      <c r="B391" s="3">
        <v>1200.0</v>
      </c>
      <c r="C391" s="3">
        <v>60.0</v>
      </c>
      <c r="D391" s="3">
        <v>324.0</v>
      </c>
      <c r="E391" s="3">
        <v>2.0</v>
      </c>
      <c r="F391" s="3">
        <v>4.0</v>
      </c>
      <c r="G391" s="3">
        <v>2.0</v>
      </c>
      <c r="H391" s="3">
        <v>0.0</v>
      </c>
      <c r="I391" s="2" t="str">
        <f>IFERROR(__xludf.DUMMYFUNCTION("INDEX(SPLIT(A391, ""/""), 0, 2)"),"random")</f>
        <v>random</v>
      </c>
      <c r="J391" s="2" t="b">
        <f t="shared" si="1"/>
        <v>1</v>
      </c>
    </row>
    <row r="392">
      <c r="A392" s="1" t="s">
        <v>2560</v>
      </c>
      <c r="B392" s="3">
        <v>30899.0</v>
      </c>
      <c r="C392" s="3">
        <v>60.0</v>
      </c>
      <c r="D392" s="3" t="s">
        <v>28</v>
      </c>
      <c r="E392" s="3">
        <v>443.0</v>
      </c>
      <c r="F392" s="3">
        <v>682.0</v>
      </c>
      <c r="G392" s="3">
        <v>14.0</v>
      </c>
      <c r="H392" s="3">
        <v>6.0</v>
      </c>
      <c r="I392" s="2" t="str">
        <f>IFERROR(__xludf.DUMMYFUNCTION("INDEX(SPLIT(A392, ""/""), 0, 2)"),"random")</f>
        <v>random</v>
      </c>
      <c r="J392" s="2" t="b">
        <f t="shared" si="1"/>
        <v>1</v>
      </c>
    </row>
    <row r="393">
      <c r="A393" s="1" t="s">
        <v>2561</v>
      </c>
      <c r="B393" s="3">
        <v>11032.0</v>
      </c>
      <c r="C393" s="3">
        <v>60.0</v>
      </c>
      <c r="D393" s="3">
        <v>50998.0</v>
      </c>
      <c r="E393" s="3">
        <v>145.0</v>
      </c>
      <c r="F393" s="3">
        <v>198.0</v>
      </c>
      <c r="G393" s="3">
        <v>8.0</v>
      </c>
      <c r="H393" s="3">
        <v>2.0</v>
      </c>
      <c r="I393" s="2" t="str">
        <f>IFERROR(__xludf.DUMMYFUNCTION("INDEX(SPLIT(A393, ""/""), 0, 2)"),"random")</f>
        <v>random</v>
      </c>
      <c r="J393" s="2" t="b">
        <f t="shared" si="1"/>
        <v>1</v>
      </c>
    </row>
    <row r="394">
      <c r="A394" s="1" t="s">
        <v>2562</v>
      </c>
      <c r="B394" s="3">
        <v>600.0</v>
      </c>
      <c r="C394" s="3">
        <v>60.0</v>
      </c>
      <c r="D394" s="3">
        <v>14.0</v>
      </c>
      <c r="E394" s="3">
        <v>0.0</v>
      </c>
      <c r="F394" s="3">
        <v>0.0</v>
      </c>
      <c r="G394" s="3">
        <v>2.0</v>
      </c>
      <c r="H394" s="3">
        <v>0.0</v>
      </c>
      <c r="I394" s="2" t="str">
        <f>IFERROR(__xludf.DUMMYFUNCTION("INDEX(SPLIT(A394, ""/""), 0, 2)"),"random")</f>
        <v>random</v>
      </c>
      <c r="J394" s="2" t="b">
        <f t="shared" si="1"/>
        <v>1</v>
      </c>
    </row>
    <row r="395">
      <c r="A395" s="1" t="s">
        <v>2563</v>
      </c>
      <c r="B395" s="3">
        <v>20.0</v>
      </c>
      <c r="C395" s="3">
        <v>60.0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2" t="str">
        <f>IFERROR(__xludf.DUMMYFUNCTION("INDEX(SPLIT(A395, ""/""), 0, 2)"),"random")</f>
        <v>random</v>
      </c>
      <c r="J395" s="2" t="b">
        <f t="shared" si="1"/>
        <v>0</v>
      </c>
    </row>
    <row r="396">
      <c r="A396" s="1" t="s">
        <v>2564</v>
      </c>
      <c r="B396" s="3">
        <v>1100000.0</v>
      </c>
      <c r="C396" s="3">
        <v>60.0</v>
      </c>
      <c r="D396" s="3" t="s">
        <v>28</v>
      </c>
      <c r="E396" s="3" t="s">
        <v>28</v>
      </c>
      <c r="F396" s="3" t="s">
        <v>28</v>
      </c>
      <c r="G396" s="3">
        <v>1532.0</v>
      </c>
      <c r="H396" s="3">
        <v>473.0</v>
      </c>
      <c r="I396" s="2" t="str">
        <f>IFERROR(__xludf.DUMMYFUNCTION("INDEX(SPLIT(A396, ""/""), 0, 2)"),"random")</f>
        <v>random</v>
      </c>
      <c r="J396" s="2" t="b">
        <f t="shared" si="1"/>
        <v>1</v>
      </c>
    </row>
    <row r="397">
      <c r="A397" s="1" t="s">
        <v>2565</v>
      </c>
      <c r="B397" s="3">
        <v>182549.0</v>
      </c>
      <c r="C397" s="3">
        <v>60.0</v>
      </c>
      <c r="D397" s="3" t="s">
        <v>28</v>
      </c>
      <c r="E397" s="3">
        <v>8495.0</v>
      </c>
      <c r="F397" s="3">
        <v>18390.0</v>
      </c>
      <c r="G397" s="3">
        <v>69.0</v>
      </c>
      <c r="H397" s="3">
        <v>39.0</v>
      </c>
      <c r="I397" s="2" t="str">
        <f>IFERROR(__xludf.DUMMYFUNCTION("INDEX(SPLIT(A397, ""/""), 0, 2)"),"random")</f>
        <v>random</v>
      </c>
      <c r="J397" s="2" t="b">
        <f t="shared" si="1"/>
        <v>1</v>
      </c>
    </row>
    <row r="398">
      <c r="A398" s="1" t="s">
        <v>2566</v>
      </c>
      <c r="B398" s="3">
        <v>2000.0</v>
      </c>
      <c r="C398" s="3">
        <v>60.0</v>
      </c>
      <c r="D398" s="3">
        <v>161.0</v>
      </c>
      <c r="E398" s="3">
        <v>2.0</v>
      </c>
      <c r="F398" s="3">
        <v>1.0</v>
      </c>
      <c r="G398" s="3">
        <v>9.0</v>
      </c>
      <c r="H398" s="3">
        <v>1.0</v>
      </c>
      <c r="I398" s="2" t="str">
        <f>IFERROR(__xludf.DUMMYFUNCTION("INDEX(SPLIT(A398, ""/""), 0, 2)"),"random")</f>
        <v>random</v>
      </c>
      <c r="J398" s="2" t="b">
        <f t="shared" si="1"/>
        <v>1</v>
      </c>
    </row>
    <row r="399">
      <c r="A399" s="1" t="s">
        <v>2567</v>
      </c>
      <c r="B399" s="3">
        <v>272468.0</v>
      </c>
      <c r="C399" s="3">
        <v>60.0</v>
      </c>
      <c r="D399" s="3" t="s">
        <v>28</v>
      </c>
      <c r="E399" s="3">
        <v>12693.0</v>
      </c>
      <c r="F399" s="3">
        <v>36296.0</v>
      </c>
      <c r="G399" s="3">
        <v>96.0</v>
      </c>
      <c r="H399" s="3">
        <v>58.0</v>
      </c>
      <c r="I399" s="2" t="str">
        <f>IFERROR(__xludf.DUMMYFUNCTION("INDEX(SPLIT(A399, ""/""), 0, 2)"),"random")</f>
        <v>random</v>
      </c>
      <c r="J399" s="2" t="b">
        <f t="shared" si="1"/>
        <v>1</v>
      </c>
    </row>
    <row r="400">
      <c r="A400" s="1" t="s">
        <v>2568</v>
      </c>
      <c r="B400" s="3">
        <v>120000.0</v>
      </c>
      <c r="C400" s="3">
        <v>60.0</v>
      </c>
      <c r="D400" s="3" t="s">
        <v>28</v>
      </c>
      <c r="E400" s="3">
        <v>31955.0</v>
      </c>
      <c r="F400" s="3">
        <v>56505.0</v>
      </c>
      <c r="G400" s="3">
        <v>297.0</v>
      </c>
      <c r="H400" s="3">
        <v>68.0</v>
      </c>
      <c r="I400" s="2" t="str">
        <f>IFERROR(__xludf.DUMMYFUNCTION("INDEX(SPLIT(A400, ""/""), 0, 2)"),"random")</f>
        <v>random</v>
      </c>
      <c r="J400" s="2" t="b">
        <f t="shared" si="1"/>
        <v>1</v>
      </c>
    </row>
    <row r="401">
      <c r="A401" s="1" t="s">
        <v>2569</v>
      </c>
      <c r="B401" s="3">
        <v>330000.0</v>
      </c>
      <c r="C401" s="3">
        <v>60.0</v>
      </c>
      <c r="D401" s="3" t="s">
        <v>28</v>
      </c>
      <c r="E401" s="3" t="s">
        <v>28</v>
      </c>
      <c r="F401" s="3" t="s">
        <v>28</v>
      </c>
      <c r="G401" s="3">
        <v>444.0</v>
      </c>
      <c r="H401" s="3">
        <v>137.0</v>
      </c>
      <c r="I401" s="2" t="str">
        <f>IFERROR(__xludf.DUMMYFUNCTION("INDEX(SPLIT(A401, ""/""), 0, 2)"),"random")</f>
        <v>random</v>
      </c>
      <c r="J401" s="2" t="b">
        <f t="shared" si="1"/>
        <v>1</v>
      </c>
    </row>
    <row r="402">
      <c r="A402" s="1" t="s">
        <v>2570</v>
      </c>
      <c r="B402" s="3">
        <v>20769.0</v>
      </c>
      <c r="C402" s="3">
        <v>60.0</v>
      </c>
      <c r="D402" s="3" t="s">
        <v>28</v>
      </c>
      <c r="E402" s="3">
        <v>314.0</v>
      </c>
      <c r="F402" s="3">
        <v>429.0</v>
      </c>
      <c r="G402" s="3">
        <v>11.0</v>
      </c>
      <c r="H402" s="3">
        <v>4.0</v>
      </c>
      <c r="I402" s="2" t="str">
        <f>IFERROR(__xludf.DUMMYFUNCTION("INDEX(SPLIT(A402, ""/""), 0, 2)"),"random")</f>
        <v>random</v>
      </c>
      <c r="J402" s="2" t="b">
        <f t="shared" si="1"/>
        <v>1</v>
      </c>
    </row>
    <row r="403">
      <c r="A403" s="1" t="s">
        <v>2571</v>
      </c>
      <c r="B403" s="3">
        <v>30.0</v>
      </c>
      <c r="C403" s="3">
        <v>60.0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2" t="str">
        <f>IFERROR(__xludf.DUMMYFUNCTION("INDEX(SPLIT(A403, ""/""), 0, 2)"),"random")</f>
        <v>random</v>
      </c>
      <c r="J403" s="2" t="b">
        <f t="shared" si="1"/>
        <v>0</v>
      </c>
    </row>
    <row r="404">
      <c r="A404" s="1" t="s">
        <v>2572</v>
      </c>
      <c r="B404" s="3">
        <v>120000.0</v>
      </c>
      <c r="C404" s="3">
        <v>60.0</v>
      </c>
      <c r="D404" s="3" t="s">
        <v>28</v>
      </c>
      <c r="E404" s="3">
        <v>31701.0</v>
      </c>
      <c r="F404" s="3" t="s">
        <v>28</v>
      </c>
      <c r="G404" s="3">
        <v>607.0</v>
      </c>
      <c r="H404" s="3">
        <v>100.0</v>
      </c>
      <c r="I404" s="2" t="str">
        <f>IFERROR(__xludf.DUMMYFUNCTION("INDEX(SPLIT(A404, ""/""), 0, 2)"),"random")</f>
        <v>random</v>
      </c>
      <c r="J404" s="2" t="b">
        <f t="shared" si="1"/>
        <v>1</v>
      </c>
    </row>
    <row r="405">
      <c r="A405" s="1" t="s">
        <v>2573</v>
      </c>
      <c r="B405" s="3">
        <v>40000.0</v>
      </c>
      <c r="C405" s="3">
        <v>60.0</v>
      </c>
      <c r="D405" s="3" t="s">
        <v>28</v>
      </c>
      <c r="E405" s="3">
        <v>3331.0</v>
      </c>
      <c r="F405" s="3">
        <v>5754.0</v>
      </c>
      <c r="G405" s="3">
        <v>92.0</v>
      </c>
      <c r="H405" s="3">
        <v>22.0</v>
      </c>
      <c r="I405" s="2" t="str">
        <f>IFERROR(__xludf.DUMMYFUNCTION("INDEX(SPLIT(A405, ""/""), 0, 2)"),"random")</f>
        <v>random</v>
      </c>
      <c r="J405" s="2" t="b">
        <f t="shared" si="1"/>
        <v>1</v>
      </c>
    </row>
    <row r="406">
      <c r="A406" s="1" t="s">
        <v>2574</v>
      </c>
      <c r="B406" s="3">
        <v>300.0</v>
      </c>
      <c r="C406" s="3">
        <v>60.0</v>
      </c>
      <c r="D406" s="3">
        <v>6.0</v>
      </c>
      <c r="E406" s="3">
        <v>0.0</v>
      </c>
      <c r="F406" s="3">
        <v>0.0</v>
      </c>
      <c r="G406" s="3">
        <v>0.0</v>
      </c>
      <c r="H406" s="3">
        <v>0.0</v>
      </c>
      <c r="I406" s="2" t="str">
        <f>IFERROR(__xludf.DUMMYFUNCTION("INDEX(SPLIT(A406, ""/""), 0, 2)"),"random")</f>
        <v>random</v>
      </c>
      <c r="J406" s="2" t="b">
        <f t="shared" si="1"/>
        <v>0</v>
      </c>
    </row>
    <row r="407">
      <c r="A407" s="1" t="s">
        <v>2575</v>
      </c>
      <c r="B407" s="3">
        <v>46.0</v>
      </c>
      <c r="C407" s="3">
        <v>60.0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2" t="str">
        <f>IFERROR(__xludf.DUMMYFUNCTION("INDEX(SPLIT(A407, ""/""), 0, 2)"),"random")</f>
        <v>random</v>
      </c>
      <c r="J407" s="2" t="b">
        <f t="shared" si="1"/>
        <v>0</v>
      </c>
    </row>
    <row r="408">
      <c r="A408" s="1" t="s">
        <v>2576</v>
      </c>
      <c r="B408" s="3">
        <v>120.0</v>
      </c>
      <c r="C408" s="3">
        <v>60.0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2" t="str">
        <f>IFERROR(__xludf.DUMMYFUNCTION("INDEX(SPLIT(A408, ""/""), 0, 2)"),"random")</f>
        <v>random</v>
      </c>
      <c r="J408" s="2" t="b">
        <f t="shared" si="1"/>
        <v>0</v>
      </c>
    </row>
    <row r="409">
      <c r="A409" s="1" t="s">
        <v>2577</v>
      </c>
      <c r="B409" s="3">
        <v>2011967.0</v>
      </c>
      <c r="C409" s="3">
        <v>60.0</v>
      </c>
      <c r="D409" s="3" t="s">
        <v>28</v>
      </c>
      <c r="E409" s="3" t="s">
        <v>28</v>
      </c>
      <c r="F409" s="3" t="s">
        <v>28</v>
      </c>
      <c r="G409" s="3">
        <v>710.0</v>
      </c>
      <c r="H409" s="3">
        <v>444.0</v>
      </c>
      <c r="I409" s="2" t="str">
        <f>IFERROR(__xludf.DUMMYFUNCTION("INDEX(SPLIT(A409, ""/""), 0, 2)"),"random")</f>
        <v>random</v>
      </c>
      <c r="J409" s="2" t="b">
        <f t="shared" si="1"/>
        <v>1</v>
      </c>
    </row>
    <row r="410">
      <c r="A410" s="1" t="s">
        <v>2578</v>
      </c>
      <c r="B410" s="3">
        <v>287.0</v>
      </c>
      <c r="C410" s="3">
        <v>60.0</v>
      </c>
      <c r="D410" s="3">
        <v>3.0</v>
      </c>
      <c r="E410" s="3">
        <v>0.0</v>
      </c>
      <c r="F410" s="3">
        <v>0.0</v>
      </c>
      <c r="G410" s="3">
        <v>0.0</v>
      </c>
      <c r="H410" s="3">
        <v>0.0</v>
      </c>
      <c r="I410" s="2" t="str">
        <f>IFERROR(__xludf.DUMMYFUNCTION("INDEX(SPLIT(A410, ""/""), 0, 2)"),"random")</f>
        <v>random</v>
      </c>
      <c r="J410" s="2" t="b">
        <f t="shared" si="1"/>
        <v>0</v>
      </c>
    </row>
    <row r="411">
      <c r="A411" s="1" t="s">
        <v>2579</v>
      </c>
      <c r="B411" s="3">
        <v>11000.0</v>
      </c>
      <c r="C411" s="3">
        <v>60.0</v>
      </c>
      <c r="D411" s="3" t="s">
        <v>28</v>
      </c>
      <c r="E411" s="3">
        <v>150.0</v>
      </c>
      <c r="F411" s="3">
        <v>211.0</v>
      </c>
      <c r="G411" s="3">
        <v>11.0</v>
      </c>
      <c r="H411" s="3">
        <v>4.0</v>
      </c>
      <c r="I411" s="2" t="str">
        <f>IFERROR(__xludf.DUMMYFUNCTION("INDEX(SPLIT(A411, ""/""), 0, 2)"),"random")</f>
        <v>random</v>
      </c>
      <c r="J411" s="2" t="b">
        <f t="shared" si="1"/>
        <v>1</v>
      </c>
    </row>
    <row r="412">
      <c r="A412" s="1" t="s">
        <v>2580</v>
      </c>
      <c r="B412" s="3">
        <v>13.0</v>
      </c>
      <c r="C412" s="3">
        <v>60.0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2" t="str">
        <f>IFERROR(__xludf.DUMMYFUNCTION("INDEX(SPLIT(A412, ""/""), 0, 2)"),"random")</f>
        <v>random</v>
      </c>
      <c r="J412" s="2" t="b">
        <f t="shared" si="1"/>
        <v>0</v>
      </c>
    </row>
    <row r="413">
      <c r="A413" s="1" t="s">
        <v>2581</v>
      </c>
      <c r="B413" s="3">
        <v>2000.0</v>
      </c>
      <c r="C413" s="3">
        <v>60.0</v>
      </c>
      <c r="D413" s="3">
        <v>176.0</v>
      </c>
      <c r="E413" s="3">
        <v>1.0</v>
      </c>
      <c r="F413" s="3">
        <v>1.0</v>
      </c>
      <c r="G413" s="3">
        <v>9.0</v>
      </c>
      <c r="H413" s="3">
        <v>1.0</v>
      </c>
      <c r="I413" s="2" t="str">
        <f>IFERROR(__xludf.DUMMYFUNCTION("INDEX(SPLIT(A413, ""/""), 0, 2)"),"random")</f>
        <v>random</v>
      </c>
      <c r="J413" s="2" t="b">
        <f t="shared" si="1"/>
        <v>1</v>
      </c>
    </row>
    <row r="414">
      <c r="A414" s="1" t="s">
        <v>2582</v>
      </c>
      <c r="B414" s="3">
        <v>9000.0</v>
      </c>
      <c r="C414" s="3">
        <v>60.0</v>
      </c>
      <c r="D414" s="3" t="s">
        <v>28</v>
      </c>
      <c r="E414" s="3">
        <v>154.0</v>
      </c>
      <c r="F414" s="3">
        <v>231.0</v>
      </c>
      <c r="G414" s="3">
        <v>25.0</v>
      </c>
      <c r="H414" s="3">
        <v>4.0</v>
      </c>
      <c r="I414" s="2" t="str">
        <f>IFERROR(__xludf.DUMMYFUNCTION("INDEX(SPLIT(A414, ""/""), 0, 2)"),"random")</f>
        <v>random</v>
      </c>
      <c r="J414" s="2" t="b">
        <f t="shared" si="1"/>
        <v>1</v>
      </c>
    </row>
    <row r="415">
      <c r="A415" s="1" t="s">
        <v>2583</v>
      </c>
      <c r="B415" s="3">
        <v>11000.0</v>
      </c>
      <c r="C415" s="3">
        <v>60.0</v>
      </c>
      <c r="D415" s="3" t="s">
        <v>28</v>
      </c>
      <c r="E415" s="3">
        <v>153.0</v>
      </c>
      <c r="F415" s="3">
        <v>212.0</v>
      </c>
      <c r="G415" s="3">
        <v>9.0</v>
      </c>
      <c r="H415" s="3">
        <v>3.0</v>
      </c>
      <c r="I415" s="2" t="str">
        <f>IFERROR(__xludf.DUMMYFUNCTION("INDEX(SPLIT(A415, ""/""), 0, 2)"),"random")</f>
        <v>random</v>
      </c>
      <c r="J415" s="2" t="b">
        <f t="shared" si="1"/>
        <v>1</v>
      </c>
    </row>
    <row r="416">
      <c r="A416" s="1" t="s">
        <v>2584</v>
      </c>
      <c r="B416" s="3">
        <v>33000.0</v>
      </c>
      <c r="C416" s="3">
        <v>60.0</v>
      </c>
      <c r="D416" s="3" t="s">
        <v>28</v>
      </c>
      <c r="E416" s="3">
        <v>1386.0</v>
      </c>
      <c r="F416" s="3">
        <v>2000.0</v>
      </c>
      <c r="G416" s="3">
        <v>29.0</v>
      </c>
      <c r="H416" s="3">
        <v>10.0</v>
      </c>
      <c r="I416" s="2" t="str">
        <f>IFERROR(__xludf.DUMMYFUNCTION("INDEX(SPLIT(A416, ""/""), 0, 2)"),"random")</f>
        <v>random</v>
      </c>
      <c r="J416" s="2" t="b">
        <f t="shared" si="1"/>
        <v>1</v>
      </c>
    </row>
    <row r="417">
      <c r="A417" s="1" t="s">
        <v>2585</v>
      </c>
      <c r="B417" s="3">
        <v>200000.0</v>
      </c>
      <c r="C417" s="3">
        <v>60.0</v>
      </c>
      <c r="D417" s="3" t="s">
        <v>28</v>
      </c>
      <c r="E417" s="3">
        <v>506.0</v>
      </c>
      <c r="F417" s="3">
        <v>346.0</v>
      </c>
      <c r="G417" s="3">
        <v>1561.0</v>
      </c>
      <c r="H417" s="3">
        <v>204.0</v>
      </c>
      <c r="I417" s="2" t="str">
        <f>IFERROR(__xludf.DUMMYFUNCTION("INDEX(SPLIT(A417, ""/""), 0, 2)"),"random")</f>
        <v>random</v>
      </c>
      <c r="J417" s="2" t="b">
        <f t="shared" si="1"/>
        <v>1</v>
      </c>
    </row>
    <row r="418">
      <c r="A418" s="1" t="s">
        <v>2586</v>
      </c>
      <c r="B418" s="3">
        <v>4000.0</v>
      </c>
      <c r="C418" s="3">
        <v>60.0</v>
      </c>
      <c r="D418" s="3">
        <v>13015.0</v>
      </c>
      <c r="E418" s="3">
        <v>29.0</v>
      </c>
      <c r="F418" s="3">
        <v>53.0</v>
      </c>
      <c r="G418" s="3">
        <v>7.0</v>
      </c>
      <c r="H418" s="3">
        <v>1.0</v>
      </c>
      <c r="I418" s="2" t="str">
        <f>IFERROR(__xludf.DUMMYFUNCTION("INDEX(SPLIT(A418, ""/""), 0, 2)"),"random")</f>
        <v>random</v>
      </c>
      <c r="J418" s="2" t="b">
        <f t="shared" si="1"/>
        <v>1</v>
      </c>
    </row>
    <row r="419">
      <c r="A419" s="1" t="s">
        <v>2587</v>
      </c>
      <c r="B419" s="3">
        <v>11.0</v>
      </c>
      <c r="C419" s="3">
        <v>60.0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2" t="str">
        <f>IFERROR(__xludf.DUMMYFUNCTION("INDEX(SPLIT(A419, ""/""), 0, 2)"),"random")</f>
        <v>random</v>
      </c>
      <c r="J419" s="2" t="b">
        <f t="shared" si="1"/>
        <v>0</v>
      </c>
    </row>
    <row r="420">
      <c r="A420" s="1" t="s">
        <v>2588</v>
      </c>
      <c r="B420" s="3">
        <v>2021.0</v>
      </c>
      <c r="C420" s="3">
        <v>60.0</v>
      </c>
      <c r="D420" s="3">
        <v>742.0</v>
      </c>
      <c r="E420" s="3">
        <v>6.0</v>
      </c>
      <c r="F420" s="3">
        <v>9.0</v>
      </c>
      <c r="G420" s="3">
        <v>2.0</v>
      </c>
      <c r="H420" s="3">
        <v>0.0</v>
      </c>
      <c r="I420" s="2" t="str">
        <f>IFERROR(__xludf.DUMMYFUNCTION("INDEX(SPLIT(A420, ""/""), 0, 2)"),"random")</f>
        <v>random</v>
      </c>
      <c r="J420" s="2" t="b">
        <f t="shared" si="1"/>
        <v>1</v>
      </c>
    </row>
    <row r="421">
      <c r="A421" s="1" t="s">
        <v>2589</v>
      </c>
      <c r="B421" s="3">
        <v>3000.0</v>
      </c>
      <c r="C421" s="3">
        <v>60.0</v>
      </c>
      <c r="D421" s="3">
        <v>5211.0</v>
      </c>
      <c r="E421" s="3">
        <v>13.0</v>
      </c>
      <c r="F421" s="3">
        <v>24.0</v>
      </c>
      <c r="G421" s="3">
        <v>8.0</v>
      </c>
      <c r="H421" s="3">
        <v>1.0</v>
      </c>
      <c r="I421" s="2" t="str">
        <f>IFERROR(__xludf.DUMMYFUNCTION("INDEX(SPLIT(A421, ""/""), 0, 2)"),"random")</f>
        <v>random</v>
      </c>
      <c r="J421" s="2" t="b">
        <f t="shared" si="1"/>
        <v>1</v>
      </c>
    </row>
    <row r="422">
      <c r="A422" s="1" t="s">
        <v>2590</v>
      </c>
      <c r="B422" s="3">
        <v>12000.0</v>
      </c>
      <c r="C422" s="3">
        <v>60.0</v>
      </c>
      <c r="D422" s="3" t="s">
        <v>28</v>
      </c>
      <c r="E422" s="3">
        <v>272.0</v>
      </c>
      <c r="F422" s="3">
        <v>502.0</v>
      </c>
      <c r="G422" s="3">
        <v>25.0</v>
      </c>
      <c r="H422" s="3">
        <v>5.0</v>
      </c>
      <c r="I422" s="2" t="str">
        <f>IFERROR(__xludf.DUMMYFUNCTION("INDEX(SPLIT(A422, ""/""), 0, 2)"),"random")</f>
        <v>random</v>
      </c>
      <c r="J422" s="2" t="b">
        <f t="shared" si="1"/>
        <v>1</v>
      </c>
    </row>
    <row r="423">
      <c r="A423" s="1" t="s">
        <v>2591</v>
      </c>
      <c r="B423" s="3">
        <v>300000.0</v>
      </c>
      <c r="C423" s="3">
        <v>60.0</v>
      </c>
      <c r="D423" s="3" t="s">
        <v>28</v>
      </c>
      <c r="E423" s="3" t="s">
        <v>28</v>
      </c>
      <c r="F423" s="3" t="s">
        <v>28</v>
      </c>
      <c r="G423" s="3">
        <v>1244.0</v>
      </c>
      <c r="H423" s="3">
        <v>260.0</v>
      </c>
      <c r="I423" s="2" t="str">
        <f>IFERROR(__xludf.DUMMYFUNCTION("INDEX(SPLIT(A423, ""/""), 0, 2)"),"random")</f>
        <v>random</v>
      </c>
      <c r="J423" s="2" t="b">
        <f t="shared" si="1"/>
        <v>1</v>
      </c>
    </row>
    <row r="424">
      <c r="A424" s="1" t="s">
        <v>2592</v>
      </c>
      <c r="B424" s="3">
        <v>330.0</v>
      </c>
      <c r="C424" s="3">
        <v>60.0</v>
      </c>
      <c r="D424" s="3">
        <v>1.0</v>
      </c>
      <c r="E424" s="3">
        <v>0.0</v>
      </c>
      <c r="F424" s="3">
        <v>0.0</v>
      </c>
      <c r="G424" s="3">
        <v>0.0</v>
      </c>
      <c r="H424" s="3">
        <v>0.0</v>
      </c>
      <c r="I424" s="2" t="str">
        <f>IFERROR(__xludf.DUMMYFUNCTION("INDEX(SPLIT(A424, ""/""), 0, 2)"),"random")</f>
        <v>random</v>
      </c>
      <c r="J424" s="2" t="b">
        <f t="shared" si="1"/>
        <v>0</v>
      </c>
    </row>
    <row r="425">
      <c r="A425" s="1" t="s">
        <v>2593</v>
      </c>
      <c r="B425" s="3">
        <v>330000.0</v>
      </c>
      <c r="C425" s="3">
        <v>60.0</v>
      </c>
      <c r="D425" s="3" t="s">
        <v>28</v>
      </c>
      <c r="E425" s="3" t="s">
        <v>28</v>
      </c>
      <c r="F425" s="3" t="s">
        <v>28</v>
      </c>
      <c r="G425" s="3">
        <v>369.0</v>
      </c>
      <c r="H425" s="3">
        <v>115.0</v>
      </c>
      <c r="I425" s="2" t="str">
        <f>IFERROR(__xludf.DUMMYFUNCTION("INDEX(SPLIT(A425, ""/""), 0, 2)"),"random")</f>
        <v>random</v>
      </c>
      <c r="J425" s="2" t="b">
        <f t="shared" si="1"/>
        <v>1</v>
      </c>
    </row>
    <row r="426">
      <c r="A426" s="1" t="s">
        <v>2594</v>
      </c>
      <c r="B426" s="3">
        <v>420.0</v>
      </c>
      <c r="C426" s="3">
        <v>60.0</v>
      </c>
      <c r="D426" s="3">
        <v>15.0</v>
      </c>
      <c r="E426" s="3">
        <v>0.0</v>
      </c>
      <c r="F426" s="3">
        <v>0.0</v>
      </c>
      <c r="G426" s="3">
        <v>0.0</v>
      </c>
      <c r="H426" s="3">
        <v>0.0</v>
      </c>
      <c r="I426" s="2" t="str">
        <f>IFERROR(__xludf.DUMMYFUNCTION("INDEX(SPLIT(A426, ""/""), 0, 2)"),"random")</f>
        <v>random</v>
      </c>
      <c r="J426" s="2" t="b">
        <f t="shared" si="1"/>
        <v>1</v>
      </c>
    </row>
    <row r="427">
      <c r="A427" s="1" t="s">
        <v>2595</v>
      </c>
      <c r="B427" s="3">
        <v>40.0</v>
      </c>
      <c r="C427" s="3">
        <v>60.0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2" t="str">
        <f>IFERROR(__xludf.DUMMYFUNCTION("INDEX(SPLIT(A427, ""/""), 0, 2)"),"random")</f>
        <v>random</v>
      </c>
      <c r="J427" s="2" t="b">
        <f t="shared" si="1"/>
        <v>0</v>
      </c>
    </row>
    <row r="428">
      <c r="A428" s="1" t="s">
        <v>2596</v>
      </c>
      <c r="B428" s="3">
        <v>1012150.0</v>
      </c>
      <c r="C428" s="3">
        <v>60.0</v>
      </c>
      <c r="D428" s="3" t="s">
        <v>28</v>
      </c>
      <c r="E428" s="3" t="s">
        <v>28</v>
      </c>
      <c r="F428" s="3" t="s">
        <v>28</v>
      </c>
      <c r="G428" s="3">
        <v>361.0</v>
      </c>
      <c r="H428" s="3">
        <v>224.0</v>
      </c>
      <c r="I428" s="2" t="str">
        <f>IFERROR(__xludf.DUMMYFUNCTION("INDEX(SPLIT(A428, ""/""), 0, 2)"),"random")</f>
        <v>random</v>
      </c>
      <c r="J428" s="2" t="b">
        <f t="shared" si="1"/>
        <v>1</v>
      </c>
    </row>
    <row r="429">
      <c r="A429" s="1" t="s">
        <v>2597</v>
      </c>
      <c r="B429" s="3">
        <v>110.0</v>
      </c>
      <c r="C429" s="3">
        <v>60.0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2" t="str">
        <f>IFERROR(__xludf.DUMMYFUNCTION("INDEX(SPLIT(A429, ""/""), 0, 2)"),"random")</f>
        <v>random</v>
      </c>
      <c r="J429" s="2" t="b">
        <f t="shared" si="1"/>
        <v>0</v>
      </c>
    </row>
    <row r="430">
      <c r="A430" s="1" t="s">
        <v>2598</v>
      </c>
      <c r="B430" s="3">
        <v>90.0</v>
      </c>
      <c r="C430" s="3">
        <v>60.0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2" t="str">
        <f>IFERROR(__xludf.DUMMYFUNCTION("INDEX(SPLIT(A430, ""/""), 0, 2)"),"random")</f>
        <v>random</v>
      </c>
      <c r="J430" s="2" t="b">
        <f t="shared" si="1"/>
        <v>0</v>
      </c>
    </row>
    <row r="431">
      <c r="A431" s="1" t="s">
        <v>2599</v>
      </c>
      <c r="B431" s="3">
        <v>3300.0</v>
      </c>
      <c r="C431" s="3">
        <v>60.0</v>
      </c>
      <c r="D431" s="3">
        <v>1284.0</v>
      </c>
      <c r="E431" s="3">
        <v>13.0</v>
      </c>
      <c r="F431" s="3">
        <v>19.0</v>
      </c>
      <c r="G431" s="3">
        <v>2.0</v>
      </c>
      <c r="H431" s="3">
        <v>0.0</v>
      </c>
      <c r="I431" s="2" t="str">
        <f>IFERROR(__xludf.DUMMYFUNCTION("INDEX(SPLIT(A431, ""/""), 0, 2)"),"random")</f>
        <v>random</v>
      </c>
      <c r="J431" s="2" t="b">
        <f t="shared" si="1"/>
        <v>1</v>
      </c>
    </row>
    <row r="432">
      <c r="A432" s="1" t="s">
        <v>2600</v>
      </c>
      <c r="B432" s="3">
        <v>1100.0</v>
      </c>
      <c r="C432" s="3">
        <v>60.0</v>
      </c>
      <c r="D432" s="3">
        <v>50.0</v>
      </c>
      <c r="E432" s="3">
        <v>1.0</v>
      </c>
      <c r="F432" s="3">
        <v>2.0</v>
      </c>
      <c r="G432" s="3">
        <v>0.0</v>
      </c>
      <c r="H432" s="3">
        <v>0.0</v>
      </c>
      <c r="I432" s="2" t="str">
        <f>IFERROR(__xludf.DUMMYFUNCTION("INDEX(SPLIT(A432, ""/""), 0, 2)"),"random")</f>
        <v>random</v>
      </c>
      <c r="J432" s="2" t="b">
        <f t="shared" si="1"/>
        <v>1</v>
      </c>
    </row>
    <row r="433">
      <c r="A433" s="1" t="s">
        <v>2601</v>
      </c>
      <c r="B433" s="3">
        <v>900.0</v>
      </c>
      <c r="C433" s="3">
        <v>60.0</v>
      </c>
      <c r="D433" s="3">
        <v>147.0</v>
      </c>
      <c r="E433" s="3">
        <v>1.0</v>
      </c>
      <c r="F433" s="3">
        <v>2.0</v>
      </c>
      <c r="G433" s="3">
        <v>4.0</v>
      </c>
      <c r="H433" s="3">
        <v>0.0</v>
      </c>
      <c r="I433" s="2" t="str">
        <f>IFERROR(__xludf.DUMMYFUNCTION("INDEX(SPLIT(A433, ""/""), 0, 2)"),"random")</f>
        <v>random</v>
      </c>
      <c r="J433" s="2" t="b">
        <f t="shared" si="1"/>
        <v>1</v>
      </c>
    </row>
    <row r="434">
      <c r="A434" s="1" t="s">
        <v>2602</v>
      </c>
      <c r="B434" s="3">
        <v>92565.0</v>
      </c>
      <c r="C434" s="3">
        <v>60.0</v>
      </c>
      <c r="D434" s="3" t="s">
        <v>28</v>
      </c>
      <c r="E434" s="3">
        <v>4180.0</v>
      </c>
      <c r="F434" s="3">
        <v>6891.0</v>
      </c>
      <c r="G434" s="3">
        <v>43.0</v>
      </c>
      <c r="H434" s="3">
        <v>20.0</v>
      </c>
      <c r="I434" s="2" t="str">
        <f>IFERROR(__xludf.DUMMYFUNCTION("INDEX(SPLIT(A434, ""/""), 0, 2)"),"random")</f>
        <v>random</v>
      </c>
      <c r="J434" s="2" t="b">
        <f t="shared" si="1"/>
        <v>1</v>
      </c>
    </row>
    <row r="435">
      <c r="A435" s="1" t="s">
        <v>2603</v>
      </c>
      <c r="B435" s="3">
        <v>60000.0</v>
      </c>
      <c r="C435" s="3">
        <v>60.0</v>
      </c>
      <c r="D435" s="3" t="s">
        <v>28</v>
      </c>
      <c r="E435" s="3">
        <v>76.0</v>
      </c>
      <c r="F435" s="3">
        <v>69.0</v>
      </c>
      <c r="G435" s="3">
        <v>385.0</v>
      </c>
      <c r="H435" s="3">
        <v>52.0</v>
      </c>
      <c r="I435" s="2" t="str">
        <f>IFERROR(__xludf.DUMMYFUNCTION("INDEX(SPLIT(A435, ""/""), 0, 2)"),"random")</f>
        <v>random</v>
      </c>
      <c r="J435" s="2" t="b">
        <f t="shared" si="1"/>
        <v>1</v>
      </c>
    </row>
    <row r="436">
      <c r="A436" s="1" t="s">
        <v>2604</v>
      </c>
      <c r="B436" s="3">
        <v>110000.0</v>
      </c>
      <c r="C436" s="3">
        <v>60.0</v>
      </c>
      <c r="D436" s="3" t="s">
        <v>28</v>
      </c>
      <c r="E436" s="3">
        <v>16244.0</v>
      </c>
      <c r="F436" s="3">
        <v>23608.0</v>
      </c>
      <c r="G436" s="3">
        <v>102.0</v>
      </c>
      <c r="H436" s="3">
        <v>34.0</v>
      </c>
      <c r="I436" s="2" t="str">
        <f>IFERROR(__xludf.DUMMYFUNCTION("INDEX(SPLIT(A436, ""/""), 0, 2)"),"random")</f>
        <v>random</v>
      </c>
      <c r="J436" s="2" t="b">
        <f t="shared" si="1"/>
        <v>1</v>
      </c>
    </row>
    <row r="437">
      <c r="A437" s="1" t="s">
        <v>2605</v>
      </c>
      <c r="B437" s="3">
        <v>40000.0</v>
      </c>
      <c r="C437" s="3">
        <v>60.0</v>
      </c>
      <c r="D437" s="3" t="s">
        <v>28</v>
      </c>
      <c r="E437" s="3">
        <v>3192.0</v>
      </c>
      <c r="F437" s="3">
        <v>5647.0</v>
      </c>
      <c r="G437" s="3">
        <v>86.0</v>
      </c>
      <c r="H437" s="3">
        <v>19.0</v>
      </c>
      <c r="I437" s="2" t="str">
        <f>IFERROR(__xludf.DUMMYFUNCTION("INDEX(SPLIT(A437, ""/""), 0, 2)"),"random")</f>
        <v>random</v>
      </c>
      <c r="J437" s="2" t="b">
        <f t="shared" si="1"/>
        <v>1</v>
      </c>
    </row>
    <row r="438">
      <c r="A438" s="1" t="s">
        <v>2606</v>
      </c>
      <c r="B438" s="3">
        <v>20000.0</v>
      </c>
      <c r="C438" s="3">
        <v>60.0</v>
      </c>
      <c r="D438" s="3">
        <v>17843.0</v>
      </c>
      <c r="E438" s="3">
        <v>22.0</v>
      </c>
      <c r="F438" s="3">
        <v>20.0</v>
      </c>
      <c r="G438" s="3">
        <v>117.0</v>
      </c>
      <c r="H438" s="3">
        <v>15.0</v>
      </c>
      <c r="I438" s="2" t="str">
        <f>IFERROR(__xludf.DUMMYFUNCTION("INDEX(SPLIT(A438, ""/""), 0, 2)"),"random")</f>
        <v>random</v>
      </c>
      <c r="J438" s="2" t="b">
        <f t="shared" si="1"/>
        <v>1</v>
      </c>
    </row>
    <row r="439">
      <c r="A439" s="1" t="s">
        <v>2607</v>
      </c>
      <c r="B439" s="3">
        <v>300.0</v>
      </c>
      <c r="C439" s="3">
        <v>60.0</v>
      </c>
      <c r="D439" s="3">
        <v>7.0</v>
      </c>
      <c r="E439" s="3">
        <v>0.0</v>
      </c>
      <c r="F439" s="3">
        <v>0.0</v>
      </c>
      <c r="G439" s="3">
        <v>0.0</v>
      </c>
      <c r="H439" s="3">
        <v>0.0</v>
      </c>
      <c r="I439" s="2" t="str">
        <f>IFERROR(__xludf.DUMMYFUNCTION("INDEX(SPLIT(A439, ""/""), 0, 2)"),"random")</f>
        <v>random</v>
      </c>
      <c r="J439" s="2" t="b">
        <f t="shared" si="1"/>
        <v>0</v>
      </c>
    </row>
    <row r="440">
      <c r="A440" s="1" t="s">
        <v>2608</v>
      </c>
      <c r="B440" s="3">
        <v>51.0</v>
      </c>
      <c r="C440" s="3">
        <v>60.0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2" t="str">
        <f>IFERROR(__xludf.DUMMYFUNCTION("INDEX(SPLIT(A440, ""/""), 0, 2)"),"random")</f>
        <v>random</v>
      </c>
      <c r="J440" s="2" t="b">
        <f t="shared" si="1"/>
        <v>0</v>
      </c>
    </row>
    <row r="441">
      <c r="A441" s="1" t="s">
        <v>2609</v>
      </c>
      <c r="B441" s="3">
        <v>201.0</v>
      </c>
      <c r="C441" s="3">
        <v>60.0</v>
      </c>
      <c r="D441" s="3">
        <v>1.0</v>
      </c>
      <c r="E441" s="3">
        <v>0.0</v>
      </c>
      <c r="F441" s="3">
        <v>0.0</v>
      </c>
      <c r="G441" s="3">
        <v>0.0</v>
      </c>
      <c r="H441" s="3">
        <v>0.0</v>
      </c>
      <c r="I441" s="2" t="str">
        <f>IFERROR(__xludf.DUMMYFUNCTION("INDEX(SPLIT(A441, ""/""), 0, 2)"),"random")</f>
        <v>random</v>
      </c>
      <c r="J441" s="2" t="b">
        <f t="shared" si="1"/>
        <v>0</v>
      </c>
    </row>
    <row r="442">
      <c r="A442" s="1" t="s">
        <v>2610</v>
      </c>
      <c r="B442" s="3">
        <v>400.0</v>
      </c>
      <c r="C442" s="3">
        <v>60.0</v>
      </c>
      <c r="D442" s="3">
        <v>15.0</v>
      </c>
      <c r="E442" s="3">
        <v>0.0</v>
      </c>
      <c r="F442" s="3">
        <v>0.0</v>
      </c>
      <c r="G442" s="3">
        <v>0.0</v>
      </c>
      <c r="H442" s="3">
        <v>0.0</v>
      </c>
      <c r="I442" s="2" t="str">
        <f>IFERROR(__xludf.DUMMYFUNCTION("INDEX(SPLIT(A442, ""/""), 0, 2)"),"random")</f>
        <v>random</v>
      </c>
      <c r="J442" s="2" t="b">
        <f t="shared" si="1"/>
        <v>1</v>
      </c>
    </row>
    <row r="443">
      <c r="A443" s="1" t="s">
        <v>2611</v>
      </c>
      <c r="B443" s="3">
        <v>64.0</v>
      </c>
      <c r="C443" s="3">
        <v>60.0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2" t="str">
        <f>IFERROR(__xludf.DUMMYFUNCTION("INDEX(SPLIT(A443, ""/""), 0, 2)"),"random")</f>
        <v>random</v>
      </c>
      <c r="J443" s="2" t="b">
        <f t="shared" si="1"/>
        <v>0</v>
      </c>
    </row>
    <row r="444">
      <c r="A444" s="1" t="s">
        <v>2612</v>
      </c>
      <c r="B444" s="3">
        <v>30000.0</v>
      </c>
      <c r="C444" s="3">
        <v>60.0</v>
      </c>
      <c r="D444" s="3" t="s">
        <v>28</v>
      </c>
      <c r="E444" s="3">
        <v>1377.0</v>
      </c>
      <c r="F444" s="3">
        <v>2440.0</v>
      </c>
      <c r="G444" s="3">
        <v>203.0</v>
      </c>
      <c r="H444" s="3">
        <v>22.0</v>
      </c>
      <c r="I444" s="2" t="str">
        <f>IFERROR(__xludf.DUMMYFUNCTION("INDEX(SPLIT(A444, ""/""), 0, 2)"),"random")</f>
        <v>random</v>
      </c>
      <c r="J444" s="2" t="b">
        <f t="shared" si="1"/>
        <v>1</v>
      </c>
    </row>
    <row r="445">
      <c r="A445" s="1" t="s">
        <v>2613</v>
      </c>
      <c r="B445" s="3">
        <v>3300.0</v>
      </c>
      <c r="C445" s="3">
        <v>60.0</v>
      </c>
      <c r="D445" s="3">
        <v>1294.0</v>
      </c>
      <c r="E445" s="3">
        <v>13.0</v>
      </c>
      <c r="F445" s="3">
        <v>18.0</v>
      </c>
      <c r="G445" s="3">
        <v>2.0</v>
      </c>
      <c r="H445" s="3">
        <v>0.0</v>
      </c>
      <c r="I445" s="2" t="str">
        <f>IFERROR(__xludf.DUMMYFUNCTION("INDEX(SPLIT(A445, ""/""), 0, 2)"),"random")</f>
        <v>random</v>
      </c>
      <c r="J445" s="2" t="b">
        <f t="shared" si="1"/>
        <v>1</v>
      </c>
    </row>
    <row r="446">
      <c r="A446" s="1" t="s">
        <v>2614</v>
      </c>
      <c r="B446" s="3">
        <v>30971.0</v>
      </c>
      <c r="C446" s="3">
        <v>60.0</v>
      </c>
      <c r="D446" s="3" t="s">
        <v>28</v>
      </c>
      <c r="E446" s="3">
        <v>432.0</v>
      </c>
      <c r="F446" s="3">
        <v>671.0</v>
      </c>
      <c r="G446" s="3">
        <v>14.0</v>
      </c>
      <c r="H446" s="3">
        <v>6.0</v>
      </c>
      <c r="I446" s="2" t="str">
        <f>IFERROR(__xludf.DUMMYFUNCTION("INDEX(SPLIT(A446, ""/""), 0, 2)"),"random")</f>
        <v>random</v>
      </c>
      <c r="J446" s="2" t="b">
        <f t="shared" si="1"/>
        <v>1</v>
      </c>
    </row>
    <row r="447">
      <c r="A447" s="1" t="s">
        <v>2615</v>
      </c>
      <c r="B447" s="3">
        <v>40.0</v>
      </c>
      <c r="C447" s="3">
        <v>60.0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2" t="str">
        <f>IFERROR(__xludf.DUMMYFUNCTION("INDEX(SPLIT(A447, ""/""), 0, 2)"),"random")</f>
        <v>random</v>
      </c>
      <c r="J447" s="2" t="b">
        <f t="shared" si="1"/>
        <v>0</v>
      </c>
    </row>
    <row r="448">
      <c r="A448" s="1" t="s">
        <v>2616</v>
      </c>
      <c r="B448" s="3">
        <v>20.0</v>
      </c>
      <c r="C448" s="3">
        <v>60.0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2" t="str">
        <f>IFERROR(__xludf.DUMMYFUNCTION("INDEX(SPLIT(A448, ""/""), 0, 2)"),"random")</f>
        <v>random</v>
      </c>
      <c r="J448" s="2" t="b">
        <f t="shared" si="1"/>
        <v>0</v>
      </c>
    </row>
    <row r="449">
      <c r="A449" s="1" t="s">
        <v>2617</v>
      </c>
      <c r="B449" s="3">
        <v>600.0</v>
      </c>
      <c r="C449" s="3">
        <v>60.0</v>
      </c>
      <c r="D449" s="3">
        <v>13.0</v>
      </c>
      <c r="E449" s="3">
        <v>0.0</v>
      </c>
      <c r="F449" s="3">
        <v>0.0</v>
      </c>
      <c r="G449" s="3">
        <v>2.0</v>
      </c>
      <c r="H449" s="3">
        <v>0.0</v>
      </c>
      <c r="I449" s="2" t="str">
        <f>IFERROR(__xludf.DUMMYFUNCTION("INDEX(SPLIT(A449, ""/""), 0, 2)"),"random")</f>
        <v>random</v>
      </c>
      <c r="J449" s="2" t="b">
        <f t="shared" si="1"/>
        <v>1</v>
      </c>
    </row>
    <row r="450">
      <c r="A450" s="1" t="s">
        <v>2618</v>
      </c>
      <c r="B450" s="3">
        <v>90000.0</v>
      </c>
      <c r="C450" s="3">
        <v>60.0</v>
      </c>
      <c r="D450" s="3" t="s">
        <v>28</v>
      </c>
      <c r="E450" s="3">
        <v>13640.0</v>
      </c>
      <c r="F450" s="3">
        <v>25037.0</v>
      </c>
      <c r="G450" s="3">
        <v>732.0</v>
      </c>
      <c r="H450" s="3">
        <v>72.0</v>
      </c>
      <c r="I450" s="2" t="str">
        <f>IFERROR(__xludf.DUMMYFUNCTION("INDEX(SPLIT(A450, ""/""), 0, 2)"),"random")</f>
        <v>random</v>
      </c>
      <c r="J450" s="2" t="b">
        <f t="shared" si="1"/>
        <v>1</v>
      </c>
    </row>
    <row r="451">
      <c r="A451" s="1" t="s">
        <v>2619</v>
      </c>
      <c r="B451" s="3">
        <v>2900.0</v>
      </c>
      <c r="C451" s="3">
        <v>60.0</v>
      </c>
      <c r="D451" s="3">
        <v>1183.0</v>
      </c>
      <c r="E451" s="3">
        <v>11.0</v>
      </c>
      <c r="F451" s="3">
        <v>15.0</v>
      </c>
      <c r="G451" s="3">
        <v>2.0</v>
      </c>
      <c r="H451" s="3">
        <v>0.0</v>
      </c>
      <c r="I451" s="2" t="str">
        <f>IFERROR(__xludf.DUMMYFUNCTION("INDEX(SPLIT(A451, ""/""), 0, 2)"),"random")</f>
        <v>random</v>
      </c>
      <c r="J451" s="2" t="b">
        <f t="shared" si="1"/>
        <v>1</v>
      </c>
    </row>
    <row r="452">
      <c r="A452" s="1" t="s">
        <v>2620</v>
      </c>
      <c r="B452" s="3">
        <v>6000.0</v>
      </c>
      <c r="C452" s="3">
        <v>60.0</v>
      </c>
      <c r="D452" s="3">
        <v>1542.0</v>
      </c>
      <c r="E452" s="3">
        <v>6.0</v>
      </c>
      <c r="F452" s="3">
        <v>5.0</v>
      </c>
      <c r="G452" s="3">
        <v>31.0</v>
      </c>
      <c r="H452" s="3">
        <v>4.0</v>
      </c>
      <c r="I452" s="2" t="str">
        <f>IFERROR(__xludf.DUMMYFUNCTION("INDEX(SPLIT(A452, ""/""), 0, 2)"),"random")</f>
        <v>random</v>
      </c>
      <c r="J452" s="2" t="b">
        <f t="shared" si="1"/>
        <v>1</v>
      </c>
    </row>
    <row r="453">
      <c r="A453" s="1" t="s">
        <v>2621</v>
      </c>
      <c r="B453" s="3">
        <v>14.0</v>
      </c>
      <c r="C453" s="3">
        <v>60.0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2" t="str">
        <f>IFERROR(__xludf.DUMMYFUNCTION("INDEX(SPLIT(A453, ""/""), 0, 2)"),"random")</f>
        <v>random</v>
      </c>
      <c r="J453" s="2" t="b">
        <f t="shared" si="1"/>
        <v>0</v>
      </c>
    </row>
    <row r="454">
      <c r="A454" s="1" t="s">
        <v>2622</v>
      </c>
      <c r="B454" s="3">
        <v>1190.0</v>
      </c>
      <c r="C454" s="3">
        <v>60.0</v>
      </c>
      <c r="D454" s="3">
        <v>303.0</v>
      </c>
      <c r="E454" s="3">
        <v>3.0</v>
      </c>
      <c r="F454" s="3">
        <v>4.0</v>
      </c>
      <c r="G454" s="3">
        <v>2.0</v>
      </c>
      <c r="H454" s="3">
        <v>0.0</v>
      </c>
      <c r="I454" s="2" t="str">
        <f>IFERROR(__xludf.DUMMYFUNCTION("INDEX(SPLIT(A454, ""/""), 0, 2)"),"random")</f>
        <v>random</v>
      </c>
      <c r="J454" s="2" t="b">
        <f t="shared" si="1"/>
        <v>1</v>
      </c>
    </row>
    <row r="455">
      <c r="A455" s="1" t="s">
        <v>2623</v>
      </c>
      <c r="B455" s="3">
        <v>200.0</v>
      </c>
      <c r="C455" s="3">
        <v>60.0</v>
      </c>
      <c r="D455" s="3">
        <v>1.0</v>
      </c>
      <c r="E455" s="3">
        <v>0.0</v>
      </c>
      <c r="F455" s="3">
        <v>0.0</v>
      </c>
      <c r="G455" s="3">
        <v>0.0</v>
      </c>
      <c r="H455" s="3">
        <v>0.0</v>
      </c>
      <c r="I455" s="2" t="str">
        <f>IFERROR(__xludf.DUMMYFUNCTION("INDEX(SPLIT(A455, ""/""), 0, 2)"),"random")</f>
        <v>random</v>
      </c>
      <c r="J455" s="2" t="b">
        <f t="shared" si="1"/>
        <v>0</v>
      </c>
    </row>
    <row r="456">
      <c r="A456" s="1" t="s">
        <v>2624</v>
      </c>
      <c r="B456" s="3">
        <v>3011435.0</v>
      </c>
      <c r="C456" s="3">
        <v>60.0</v>
      </c>
      <c r="D456" s="3" t="s">
        <v>28</v>
      </c>
      <c r="E456" s="3" t="s">
        <v>28</v>
      </c>
      <c r="F456" s="3" t="s">
        <v>28</v>
      </c>
      <c r="G456" s="3">
        <v>954.0</v>
      </c>
      <c r="H456" s="3">
        <v>667.0</v>
      </c>
      <c r="I456" s="2" t="str">
        <f>IFERROR(__xludf.DUMMYFUNCTION("INDEX(SPLIT(A456, ""/""), 0, 2)"),"random")</f>
        <v>random</v>
      </c>
      <c r="J456" s="2" t="b">
        <f t="shared" si="1"/>
        <v>1</v>
      </c>
    </row>
    <row r="457">
      <c r="A457" s="1" t="s">
        <v>2625</v>
      </c>
      <c r="B457" s="3">
        <v>198.0</v>
      </c>
      <c r="C457" s="3">
        <v>60.0</v>
      </c>
      <c r="D457" s="3">
        <v>1.0</v>
      </c>
      <c r="E457" s="3">
        <v>0.0</v>
      </c>
      <c r="F457" s="3">
        <v>0.0</v>
      </c>
      <c r="G457" s="3">
        <v>0.0</v>
      </c>
      <c r="H457" s="3">
        <v>0.0</v>
      </c>
      <c r="I457" s="2" t="str">
        <f>IFERROR(__xludf.DUMMYFUNCTION("INDEX(SPLIT(A457, ""/""), 0, 2)"),"random")</f>
        <v>random</v>
      </c>
      <c r="J457" s="2" t="b">
        <f t="shared" si="1"/>
        <v>0</v>
      </c>
    </row>
    <row r="458">
      <c r="A458" s="1" t="s">
        <v>2626</v>
      </c>
      <c r="B458" s="3">
        <v>60.0</v>
      </c>
      <c r="C458" s="3">
        <v>60.0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2" t="str">
        <f>IFERROR(__xludf.DUMMYFUNCTION("INDEX(SPLIT(A458, ""/""), 0, 2)"),"random")</f>
        <v>random</v>
      </c>
      <c r="J458" s="2" t="b">
        <f t="shared" si="1"/>
        <v>0</v>
      </c>
    </row>
    <row r="459">
      <c r="A459" s="1" t="s">
        <v>2627</v>
      </c>
      <c r="B459" s="3">
        <v>93525.0</v>
      </c>
      <c r="C459" s="3">
        <v>60.0</v>
      </c>
      <c r="D459" s="3" t="s">
        <v>28</v>
      </c>
      <c r="E459" s="3">
        <v>4250.0</v>
      </c>
      <c r="F459" s="3">
        <v>6907.0</v>
      </c>
      <c r="G459" s="3">
        <v>43.0</v>
      </c>
      <c r="H459" s="3">
        <v>20.0</v>
      </c>
      <c r="I459" s="2" t="str">
        <f>IFERROR(__xludf.DUMMYFUNCTION("INDEX(SPLIT(A459, ""/""), 0, 2)"),"random")</f>
        <v>random</v>
      </c>
      <c r="J459" s="2" t="b">
        <f t="shared" si="1"/>
        <v>1</v>
      </c>
    </row>
    <row r="460">
      <c r="A460" s="1" t="s">
        <v>2628</v>
      </c>
      <c r="B460" s="3">
        <v>400000.0</v>
      </c>
      <c r="C460" s="3">
        <v>60.0</v>
      </c>
      <c r="D460" s="3" t="s">
        <v>28</v>
      </c>
      <c r="E460" s="3" t="s">
        <v>28</v>
      </c>
      <c r="F460" s="3" t="s">
        <v>28</v>
      </c>
      <c r="G460" s="3">
        <v>1143.0</v>
      </c>
      <c r="H460" s="3">
        <v>226.0</v>
      </c>
      <c r="I460" s="2" t="str">
        <f>IFERROR(__xludf.DUMMYFUNCTION("INDEX(SPLIT(A460, ""/""), 0, 2)"),"random")</f>
        <v>random</v>
      </c>
      <c r="J460" s="2" t="b">
        <f t="shared" si="1"/>
        <v>1</v>
      </c>
    </row>
    <row r="461">
      <c r="A461" s="1" t="s">
        <v>2629</v>
      </c>
      <c r="B461" s="3">
        <v>4000.0</v>
      </c>
      <c r="C461" s="3">
        <v>60.0</v>
      </c>
      <c r="D461" s="3">
        <v>13337.0</v>
      </c>
      <c r="E461" s="3">
        <v>28.0</v>
      </c>
      <c r="F461" s="3">
        <v>50.0</v>
      </c>
      <c r="G461" s="3">
        <v>8.0</v>
      </c>
      <c r="H461" s="3">
        <v>1.0</v>
      </c>
      <c r="I461" s="2" t="str">
        <f>IFERROR(__xludf.DUMMYFUNCTION("INDEX(SPLIT(A461, ""/""), 0, 2)"),"random")</f>
        <v>random</v>
      </c>
      <c r="J461" s="2" t="b">
        <f t="shared" si="1"/>
        <v>1</v>
      </c>
    </row>
    <row r="462">
      <c r="A462" s="1" t="s">
        <v>2630</v>
      </c>
      <c r="B462" s="3">
        <v>1100000.0</v>
      </c>
      <c r="C462" s="3">
        <v>60.0</v>
      </c>
      <c r="D462" s="3" t="s">
        <v>28</v>
      </c>
      <c r="E462" s="3" t="s">
        <v>28</v>
      </c>
      <c r="F462" s="3" t="s">
        <v>28</v>
      </c>
      <c r="G462" s="3">
        <v>1553.0</v>
      </c>
      <c r="H462" s="3">
        <v>477.0</v>
      </c>
      <c r="I462" s="2" t="str">
        <f>IFERROR(__xludf.DUMMYFUNCTION("INDEX(SPLIT(A462, ""/""), 0, 2)"),"random")</f>
        <v>random</v>
      </c>
      <c r="J462" s="2" t="b">
        <f t="shared" si="1"/>
        <v>1</v>
      </c>
    </row>
    <row r="463">
      <c r="A463" s="1" t="s">
        <v>2631</v>
      </c>
      <c r="B463" s="3">
        <v>13.0</v>
      </c>
      <c r="C463" s="3">
        <v>60.0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2" t="str">
        <f>IFERROR(__xludf.DUMMYFUNCTION("INDEX(SPLIT(A463, ""/""), 0, 2)"),"random")</f>
        <v>random</v>
      </c>
      <c r="J463" s="2" t="b">
        <f t="shared" si="1"/>
        <v>0</v>
      </c>
    </row>
    <row r="464">
      <c r="A464" s="1" t="s">
        <v>2632</v>
      </c>
      <c r="B464" s="3">
        <v>330.0</v>
      </c>
      <c r="C464" s="3">
        <v>60.0</v>
      </c>
      <c r="D464" s="3">
        <v>1.0</v>
      </c>
      <c r="E464" s="3">
        <v>0.0</v>
      </c>
      <c r="F464" s="3">
        <v>0.0</v>
      </c>
      <c r="G464" s="3">
        <v>0.0</v>
      </c>
      <c r="H464" s="3">
        <v>0.0</v>
      </c>
      <c r="I464" s="2" t="str">
        <f>IFERROR(__xludf.DUMMYFUNCTION("INDEX(SPLIT(A464, ""/""), 0, 2)"),"random")</f>
        <v>random</v>
      </c>
      <c r="J464" s="2" t="b">
        <f t="shared" si="1"/>
        <v>0</v>
      </c>
    </row>
    <row r="465">
      <c r="A465" s="1" t="s">
        <v>2633</v>
      </c>
      <c r="B465" s="3">
        <v>3101.0</v>
      </c>
      <c r="C465" s="3">
        <v>60.0</v>
      </c>
      <c r="D465" s="3">
        <v>1198.0</v>
      </c>
      <c r="E465" s="3">
        <v>12.0</v>
      </c>
      <c r="F465" s="3">
        <v>16.0</v>
      </c>
      <c r="G465" s="3">
        <v>2.0</v>
      </c>
      <c r="H465" s="3">
        <v>0.0</v>
      </c>
      <c r="I465" s="2" t="str">
        <f>IFERROR(__xludf.DUMMYFUNCTION("INDEX(SPLIT(A465, ""/""), 0, 2)"),"random")</f>
        <v>random</v>
      </c>
      <c r="J465" s="2" t="b">
        <f t="shared" si="1"/>
        <v>1</v>
      </c>
    </row>
    <row r="466">
      <c r="A466" s="1" t="s">
        <v>2634</v>
      </c>
      <c r="B466" s="3">
        <v>6000.0</v>
      </c>
      <c r="C466" s="3">
        <v>60.0</v>
      </c>
      <c r="D466" s="3">
        <v>1521.0</v>
      </c>
      <c r="E466" s="3">
        <v>6.0</v>
      </c>
      <c r="F466" s="3">
        <v>5.0</v>
      </c>
      <c r="G466" s="3">
        <v>30.0</v>
      </c>
      <c r="H466" s="3">
        <v>4.0</v>
      </c>
      <c r="I466" s="2" t="str">
        <f>IFERROR(__xludf.DUMMYFUNCTION("INDEX(SPLIT(A466, ""/""), 0, 2)"),"random")</f>
        <v>random</v>
      </c>
      <c r="J466" s="2" t="b">
        <f t="shared" si="1"/>
        <v>1</v>
      </c>
    </row>
    <row r="467">
      <c r="A467" s="1" t="s">
        <v>2635</v>
      </c>
      <c r="B467" s="3">
        <v>110.0</v>
      </c>
      <c r="C467" s="3">
        <v>60.0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2" t="str">
        <f>IFERROR(__xludf.DUMMYFUNCTION("INDEX(SPLIT(A467, ""/""), 0, 2)"),"random")</f>
        <v>random</v>
      </c>
      <c r="J467" s="2" t="b">
        <f t="shared" si="1"/>
        <v>0</v>
      </c>
    </row>
    <row r="468">
      <c r="A468" s="1" t="s">
        <v>2636</v>
      </c>
      <c r="B468" s="3">
        <v>206.0</v>
      </c>
      <c r="C468" s="3">
        <v>60.0</v>
      </c>
      <c r="D468" s="3">
        <v>1.0</v>
      </c>
      <c r="E468" s="3">
        <v>0.0</v>
      </c>
      <c r="F468" s="3">
        <v>0.0</v>
      </c>
      <c r="G468" s="3">
        <v>0.0</v>
      </c>
      <c r="H468" s="3">
        <v>0.0</v>
      </c>
      <c r="I468" s="2" t="str">
        <f>IFERROR(__xludf.DUMMYFUNCTION("INDEX(SPLIT(A468, ""/""), 0, 2)"),"random")</f>
        <v>random</v>
      </c>
      <c r="J468" s="2" t="b">
        <f t="shared" si="1"/>
        <v>0</v>
      </c>
    </row>
    <row r="469">
      <c r="A469" s="1" t="s">
        <v>2637</v>
      </c>
      <c r="B469" s="3">
        <v>90.0</v>
      </c>
      <c r="C469" s="3">
        <v>60.0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2" t="str">
        <f>IFERROR(__xludf.DUMMYFUNCTION("INDEX(SPLIT(A469, ""/""), 0, 2)"),"random")</f>
        <v>random</v>
      </c>
      <c r="J469" s="2" t="b">
        <f t="shared" si="1"/>
        <v>0</v>
      </c>
    </row>
    <row r="470">
      <c r="A470" s="1" t="s">
        <v>2638</v>
      </c>
      <c r="B470" s="3">
        <v>310.0</v>
      </c>
      <c r="C470" s="3">
        <v>60.0</v>
      </c>
      <c r="D470" s="3">
        <v>5.0</v>
      </c>
      <c r="E470" s="3">
        <v>0.0</v>
      </c>
      <c r="F470" s="3">
        <v>0.0</v>
      </c>
      <c r="G470" s="3">
        <v>0.0</v>
      </c>
      <c r="H470" s="3">
        <v>0.0</v>
      </c>
      <c r="I470" s="2" t="str">
        <f>IFERROR(__xludf.DUMMYFUNCTION("INDEX(SPLIT(A470, ""/""), 0, 2)"),"random")</f>
        <v>random</v>
      </c>
      <c r="J470" s="2" t="b">
        <f t="shared" si="1"/>
        <v>0</v>
      </c>
    </row>
    <row r="471">
      <c r="A471" s="1" t="s">
        <v>2639</v>
      </c>
      <c r="B471" s="3">
        <v>60.0</v>
      </c>
      <c r="C471" s="3">
        <v>60.0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2" t="str">
        <f>IFERROR(__xludf.DUMMYFUNCTION("INDEX(SPLIT(A471, ""/""), 0, 2)"),"random")</f>
        <v>random</v>
      </c>
      <c r="J471" s="2" t="b">
        <f t="shared" si="1"/>
        <v>0</v>
      </c>
    </row>
    <row r="472">
      <c r="A472" s="1" t="s">
        <v>2640</v>
      </c>
      <c r="B472" s="3">
        <v>4000.0</v>
      </c>
      <c r="C472" s="3">
        <v>60.0</v>
      </c>
      <c r="D472" s="3">
        <v>13594.0</v>
      </c>
      <c r="E472" s="3">
        <v>29.0</v>
      </c>
      <c r="F472" s="3">
        <v>55.0</v>
      </c>
      <c r="G472" s="3">
        <v>8.0</v>
      </c>
      <c r="H472" s="3">
        <v>1.0</v>
      </c>
      <c r="I472" s="2" t="str">
        <f>IFERROR(__xludf.DUMMYFUNCTION("INDEX(SPLIT(A472, ""/""), 0, 2)"),"random")</f>
        <v>random</v>
      </c>
      <c r="J472" s="2" t="b">
        <f t="shared" si="1"/>
        <v>1</v>
      </c>
    </row>
    <row r="473">
      <c r="A473" s="1" t="s">
        <v>2641</v>
      </c>
      <c r="B473" s="3">
        <v>11.0</v>
      </c>
      <c r="C473" s="3">
        <v>60.0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2" t="str">
        <f>IFERROR(__xludf.DUMMYFUNCTION("INDEX(SPLIT(A473, ""/""), 0, 2)"),"random")</f>
        <v>random</v>
      </c>
      <c r="J473" s="2" t="b">
        <f t="shared" si="1"/>
        <v>0</v>
      </c>
    </row>
    <row r="474">
      <c r="A474" s="1" t="s">
        <v>2642</v>
      </c>
      <c r="B474" s="3">
        <v>2084.0</v>
      </c>
      <c r="C474" s="3">
        <v>60.0</v>
      </c>
      <c r="D474" s="3">
        <v>793.0</v>
      </c>
      <c r="E474" s="3">
        <v>7.0</v>
      </c>
      <c r="F474" s="3">
        <v>10.0</v>
      </c>
      <c r="G474" s="3">
        <v>2.0</v>
      </c>
      <c r="H474" s="3">
        <v>0.0</v>
      </c>
      <c r="I474" s="2" t="str">
        <f>IFERROR(__xludf.DUMMYFUNCTION("INDEX(SPLIT(A474, ""/""), 0, 2)"),"random")</f>
        <v>random</v>
      </c>
      <c r="J474" s="2" t="b">
        <f t="shared" si="1"/>
        <v>1</v>
      </c>
    </row>
    <row r="475">
      <c r="A475" s="1" t="s">
        <v>2643</v>
      </c>
      <c r="B475" s="3">
        <v>9000.0</v>
      </c>
      <c r="C475" s="3">
        <v>60.0</v>
      </c>
      <c r="D475" s="3" t="s">
        <v>28</v>
      </c>
      <c r="E475" s="3">
        <v>119.0</v>
      </c>
      <c r="F475" s="3">
        <v>215.0</v>
      </c>
      <c r="G475" s="3">
        <v>25.0</v>
      </c>
      <c r="H475" s="3">
        <v>5.0</v>
      </c>
      <c r="I475" s="2" t="str">
        <f>IFERROR(__xludf.DUMMYFUNCTION("INDEX(SPLIT(A475, ""/""), 0, 2)"),"random")</f>
        <v>random</v>
      </c>
      <c r="J475" s="2" t="b">
        <f t="shared" si="1"/>
        <v>1</v>
      </c>
    </row>
    <row r="476">
      <c r="A476" s="1" t="s">
        <v>2644</v>
      </c>
      <c r="B476" s="3">
        <v>30.0</v>
      </c>
      <c r="C476" s="3">
        <v>60.0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2" t="str">
        <f>IFERROR(__xludf.DUMMYFUNCTION("INDEX(SPLIT(A476, ""/""), 0, 2)"),"random")</f>
        <v>random</v>
      </c>
      <c r="J476" s="2" t="b">
        <f t="shared" si="1"/>
        <v>0</v>
      </c>
    </row>
    <row r="477">
      <c r="A477" s="1" t="s">
        <v>2645</v>
      </c>
      <c r="B477" s="3">
        <v>110000.0</v>
      </c>
      <c r="C477" s="3">
        <v>60.0</v>
      </c>
      <c r="D477" s="3" t="s">
        <v>28</v>
      </c>
      <c r="E477" s="3">
        <v>16101.0</v>
      </c>
      <c r="F477" s="3">
        <v>23544.0</v>
      </c>
      <c r="G477" s="3">
        <v>103.0</v>
      </c>
      <c r="H477" s="3">
        <v>34.0</v>
      </c>
      <c r="I477" s="2" t="str">
        <f>IFERROR(__xludf.DUMMYFUNCTION("INDEX(SPLIT(A477, ""/""), 0, 2)"),"random")</f>
        <v>random</v>
      </c>
      <c r="J477" s="2" t="b">
        <f t="shared" si="1"/>
        <v>1</v>
      </c>
    </row>
    <row r="478">
      <c r="A478" s="1" t="s">
        <v>2646</v>
      </c>
      <c r="B478" s="3">
        <v>60000.0</v>
      </c>
      <c r="C478" s="3">
        <v>60.0</v>
      </c>
      <c r="D478" s="3" t="s">
        <v>28</v>
      </c>
      <c r="E478" s="3">
        <v>72.0</v>
      </c>
      <c r="F478" s="3">
        <v>68.0</v>
      </c>
      <c r="G478" s="3">
        <v>375.0</v>
      </c>
      <c r="H478" s="3">
        <v>53.0</v>
      </c>
      <c r="I478" s="2" t="str">
        <f>IFERROR(__xludf.DUMMYFUNCTION("INDEX(SPLIT(A478, ""/""), 0, 2)"),"random")</f>
        <v>random</v>
      </c>
      <c r="J478" s="2" t="b">
        <f t="shared" si="1"/>
        <v>1</v>
      </c>
    </row>
    <row r="479">
      <c r="A479" s="1" t="s">
        <v>2647</v>
      </c>
      <c r="B479" s="3">
        <v>92819.0</v>
      </c>
      <c r="C479" s="3">
        <v>60.0</v>
      </c>
      <c r="D479" s="3" t="s">
        <v>28</v>
      </c>
      <c r="E479" s="3">
        <v>4246.0</v>
      </c>
      <c r="F479" s="3">
        <v>6944.0</v>
      </c>
      <c r="G479" s="3">
        <v>43.0</v>
      </c>
      <c r="H479" s="3">
        <v>20.0</v>
      </c>
      <c r="I479" s="2" t="str">
        <f>IFERROR(__xludf.DUMMYFUNCTION("INDEX(SPLIT(A479, ""/""), 0, 2)"),"random")</f>
        <v>random</v>
      </c>
      <c r="J479" s="2" t="b">
        <f t="shared" si="1"/>
        <v>1</v>
      </c>
    </row>
    <row r="480">
      <c r="A480" s="1" t="s">
        <v>2648</v>
      </c>
      <c r="B480" s="3">
        <v>120000.0</v>
      </c>
      <c r="C480" s="3">
        <v>60.0</v>
      </c>
      <c r="D480" s="3" t="s">
        <v>28</v>
      </c>
      <c r="E480" s="3">
        <v>31934.0</v>
      </c>
      <c r="F480" s="3">
        <v>56893.0</v>
      </c>
      <c r="G480" s="3">
        <v>304.0</v>
      </c>
      <c r="H480" s="3">
        <v>71.0</v>
      </c>
      <c r="I480" s="2" t="str">
        <f>IFERROR(__xludf.DUMMYFUNCTION("INDEX(SPLIT(A480, ""/""), 0, 2)"),"random")</f>
        <v>random</v>
      </c>
      <c r="J480" s="2" t="b">
        <f t="shared" si="1"/>
        <v>1</v>
      </c>
    </row>
    <row r="481">
      <c r="A481" s="1" t="s">
        <v>2649</v>
      </c>
      <c r="B481" s="3">
        <v>1100.0</v>
      </c>
      <c r="C481" s="3">
        <v>60.0</v>
      </c>
      <c r="D481" s="3">
        <v>52.0</v>
      </c>
      <c r="E481" s="3">
        <v>1.0</v>
      </c>
      <c r="F481" s="3">
        <v>2.0</v>
      </c>
      <c r="G481" s="3">
        <v>0.0</v>
      </c>
      <c r="H481" s="3">
        <v>0.0</v>
      </c>
      <c r="I481" s="2" t="str">
        <f>IFERROR(__xludf.DUMMYFUNCTION("INDEX(SPLIT(A481, ""/""), 0, 2)"),"random")</f>
        <v>random</v>
      </c>
      <c r="J481" s="2" t="b">
        <f t="shared" si="1"/>
        <v>1</v>
      </c>
    </row>
    <row r="482">
      <c r="A482" s="1" t="s">
        <v>2650</v>
      </c>
      <c r="B482" s="3">
        <v>330000.0</v>
      </c>
      <c r="C482" s="3">
        <v>60.0</v>
      </c>
      <c r="D482" s="3" t="s">
        <v>28</v>
      </c>
      <c r="E482" s="3" t="s">
        <v>28</v>
      </c>
      <c r="F482" s="3" t="s">
        <v>28</v>
      </c>
      <c r="G482" s="3">
        <v>365.0</v>
      </c>
      <c r="H482" s="3">
        <v>114.0</v>
      </c>
      <c r="I482" s="2" t="str">
        <f>IFERROR(__xludf.DUMMYFUNCTION("INDEX(SPLIT(A482, ""/""), 0, 2)"),"random")</f>
        <v>random</v>
      </c>
      <c r="J482" s="2" t="b">
        <f t="shared" si="1"/>
        <v>1</v>
      </c>
    </row>
    <row r="483">
      <c r="A483" s="1" t="s">
        <v>2651</v>
      </c>
      <c r="B483" s="3">
        <v>3011932.0</v>
      </c>
      <c r="C483" s="3">
        <v>60.0</v>
      </c>
      <c r="D483" s="3" t="s">
        <v>28</v>
      </c>
      <c r="E483" s="3" t="s">
        <v>28</v>
      </c>
      <c r="F483" s="3" t="s">
        <v>28</v>
      </c>
      <c r="G483" s="3">
        <v>945.0</v>
      </c>
      <c r="H483" s="3">
        <v>680.0</v>
      </c>
      <c r="I483" s="2" t="str">
        <f>IFERROR(__xludf.DUMMYFUNCTION("INDEX(SPLIT(A483, ""/""), 0, 2)"),"random")</f>
        <v>random</v>
      </c>
      <c r="J483" s="2" t="b">
        <f t="shared" si="1"/>
        <v>1</v>
      </c>
    </row>
    <row r="484">
      <c r="A484" s="1" t="s">
        <v>2652</v>
      </c>
      <c r="B484" s="3">
        <v>20000.0</v>
      </c>
      <c r="C484" s="3">
        <v>60.0</v>
      </c>
      <c r="D484" s="3">
        <v>17942.0</v>
      </c>
      <c r="E484" s="3">
        <v>24.0</v>
      </c>
      <c r="F484" s="3">
        <v>20.0</v>
      </c>
      <c r="G484" s="3">
        <v>123.0</v>
      </c>
      <c r="H484" s="3">
        <v>15.0</v>
      </c>
      <c r="I484" s="2" t="str">
        <f>IFERROR(__xludf.DUMMYFUNCTION("INDEX(SPLIT(A484, ""/""), 0, 2)"),"random")</f>
        <v>random</v>
      </c>
      <c r="J484" s="2" t="b">
        <f t="shared" si="1"/>
        <v>1</v>
      </c>
    </row>
    <row r="485">
      <c r="A485" s="1" t="s">
        <v>2653</v>
      </c>
      <c r="B485" s="3">
        <v>30000.0</v>
      </c>
      <c r="C485" s="3">
        <v>60.0</v>
      </c>
      <c r="D485" s="3" t="s">
        <v>28</v>
      </c>
      <c r="E485" s="3">
        <v>1368.0</v>
      </c>
      <c r="F485" s="3">
        <v>2494.0</v>
      </c>
      <c r="G485" s="3">
        <v>83.0</v>
      </c>
      <c r="H485" s="3">
        <v>18.0</v>
      </c>
      <c r="I485" s="2" t="str">
        <f>IFERROR(__xludf.DUMMYFUNCTION("INDEX(SPLIT(A485, ""/""), 0, 2)"),"random")</f>
        <v>random</v>
      </c>
      <c r="J485" s="2" t="b">
        <f t="shared" si="1"/>
        <v>1</v>
      </c>
    </row>
    <row r="486">
      <c r="A486" s="1" t="s">
        <v>2654</v>
      </c>
      <c r="B486" s="3">
        <v>40.0</v>
      </c>
      <c r="C486" s="3">
        <v>60.0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2" t="str">
        <f>IFERROR(__xludf.DUMMYFUNCTION("INDEX(SPLIT(A486, ""/""), 0, 2)"),"random")</f>
        <v>random</v>
      </c>
      <c r="J486" s="2" t="b">
        <f t="shared" si="1"/>
        <v>0</v>
      </c>
    </row>
    <row r="487">
      <c r="A487" s="1" t="s">
        <v>2655</v>
      </c>
      <c r="B487" s="3">
        <v>200.0</v>
      </c>
      <c r="C487" s="3">
        <v>60.0</v>
      </c>
      <c r="D487" s="3">
        <v>1.0</v>
      </c>
      <c r="E487" s="3">
        <v>0.0</v>
      </c>
      <c r="F487" s="3">
        <v>0.0</v>
      </c>
      <c r="G487" s="3">
        <v>0.0</v>
      </c>
      <c r="H487" s="3">
        <v>0.0</v>
      </c>
      <c r="I487" s="2" t="str">
        <f>IFERROR(__xludf.DUMMYFUNCTION("INDEX(SPLIT(A487, ""/""), 0, 2)"),"random")</f>
        <v>random</v>
      </c>
      <c r="J487" s="2" t="b">
        <f t="shared" si="1"/>
        <v>0</v>
      </c>
    </row>
    <row r="488">
      <c r="A488" s="1" t="s">
        <v>2656</v>
      </c>
      <c r="B488" s="3">
        <v>56.0</v>
      </c>
      <c r="C488" s="3">
        <v>60.0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2" t="str">
        <f>IFERROR(__xludf.DUMMYFUNCTION("INDEX(SPLIT(A488, ""/""), 0, 2)"),"random")</f>
        <v>random</v>
      </c>
      <c r="J488" s="2" t="b">
        <f t="shared" si="1"/>
        <v>0</v>
      </c>
    </row>
    <row r="489">
      <c r="A489" s="1" t="s">
        <v>2657</v>
      </c>
      <c r="B489" s="3">
        <v>400.0</v>
      </c>
      <c r="C489" s="3">
        <v>60.0</v>
      </c>
      <c r="D489" s="3">
        <v>15.0</v>
      </c>
      <c r="E489" s="3">
        <v>0.0</v>
      </c>
      <c r="F489" s="3">
        <v>0.0</v>
      </c>
      <c r="G489" s="3">
        <v>0.0</v>
      </c>
      <c r="H489" s="3">
        <v>0.0</v>
      </c>
      <c r="I489" s="2" t="str">
        <f>IFERROR(__xludf.DUMMYFUNCTION("INDEX(SPLIT(A489, ""/""), 0, 2)"),"random")</f>
        <v>random</v>
      </c>
      <c r="J489" s="2" t="b">
        <f t="shared" si="1"/>
        <v>1</v>
      </c>
    </row>
    <row r="490">
      <c r="A490" s="1" t="s">
        <v>2658</v>
      </c>
      <c r="B490" s="3">
        <v>600.0</v>
      </c>
      <c r="C490" s="3">
        <v>60.0</v>
      </c>
      <c r="D490" s="3">
        <v>14.0</v>
      </c>
      <c r="E490" s="3">
        <v>0.0</v>
      </c>
      <c r="F490" s="3">
        <v>0.0</v>
      </c>
      <c r="G490" s="3">
        <v>2.0</v>
      </c>
      <c r="H490" s="3">
        <v>0.0</v>
      </c>
      <c r="I490" s="2" t="str">
        <f>IFERROR(__xludf.DUMMYFUNCTION("INDEX(SPLIT(A490, ""/""), 0, 2)"),"random")</f>
        <v>random</v>
      </c>
      <c r="J490" s="2" t="b">
        <f t="shared" si="1"/>
        <v>1</v>
      </c>
    </row>
    <row r="491">
      <c r="A491" s="1" t="s">
        <v>2659</v>
      </c>
      <c r="B491" s="3">
        <v>1100000.0</v>
      </c>
      <c r="C491" s="3">
        <v>60.0</v>
      </c>
      <c r="D491" s="3" t="s">
        <v>28</v>
      </c>
      <c r="E491" s="3" t="s">
        <v>28</v>
      </c>
      <c r="F491" s="3" t="s">
        <v>28</v>
      </c>
      <c r="G491" s="3">
        <v>1656.0</v>
      </c>
      <c r="H491" s="3">
        <v>526.0</v>
      </c>
      <c r="I491" s="2" t="str">
        <f>IFERROR(__xludf.DUMMYFUNCTION("INDEX(SPLIT(A491, ""/""), 0, 2)"),"random")</f>
        <v>random</v>
      </c>
      <c r="J491" s="2" t="b">
        <f t="shared" si="1"/>
        <v>1</v>
      </c>
    </row>
    <row r="492">
      <c r="A492" s="1" t="s">
        <v>2660</v>
      </c>
      <c r="B492" s="3">
        <v>90000.0</v>
      </c>
      <c r="C492" s="3">
        <v>60.0</v>
      </c>
      <c r="D492" s="3" t="s">
        <v>28</v>
      </c>
      <c r="E492" s="3">
        <v>13473.0</v>
      </c>
      <c r="F492" s="3">
        <v>24577.0</v>
      </c>
      <c r="G492" s="3">
        <v>294.0</v>
      </c>
      <c r="H492" s="3">
        <v>63.0</v>
      </c>
      <c r="I492" s="2" t="str">
        <f>IFERROR(__xludf.DUMMYFUNCTION("INDEX(SPLIT(A492, ""/""), 0, 2)"),"random")</f>
        <v>random</v>
      </c>
      <c r="J492" s="2" t="b">
        <f t="shared" si="1"/>
        <v>1</v>
      </c>
    </row>
    <row r="493">
      <c r="A493" s="1" t="s">
        <v>2661</v>
      </c>
      <c r="B493" s="3">
        <v>183060.0</v>
      </c>
      <c r="C493" s="3">
        <v>60.0</v>
      </c>
      <c r="D493" s="3" t="s">
        <v>28</v>
      </c>
      <c r="E493" s="3">
        <v>8518.0</v>
      </c>
      <c r="F493" s="3">
        <v>18383.0</v>
      </c>
      <c r="G493" s="3">
        <v>69.0</v>
      </c>
      <c r="H493" s="3">
        <v>39.0</v>
      </c>
      <c r="I493" s="2" t="str">
        <f>IFERROR(__xludf.DUMMYFUNCTION("INDEX(SPLIT(A493, ""/""), 0, 2)"),"random")</f>
        <v>random</v>
      </c>
      <c r="J493" s="2" t="b">
        <f t="shared" si="1"/>
        <v>1</v>
      </c>
    </row>
    <row r="494">
      <c r="A494" s="1" t="s">
        <v>2662</v>
      </c>
      <c r="B494" s="3">
        <v>3000.0</v>
      </c>
      <c r="C494" s="3">
        <v>60.0</v>
      </c>
      <c r="D494" s="3">
        <v>4688.0</v>
      </c>
      <c r="E494" s="3">
        <v>13.0</v>
      </c>
      <c r="F494" s="3">
        <v>23.0</v>
      </c>
      <c r="G494" s="3">
        <v>7.0</v>
      </c>
      <c r="H494" s="3">
        <v>1.0</v>
      </c>
      <c r="I494" s="2" t="str">
        <f>IFERROR(__xludf.DUMMYFUNCTION("INDEX(SPLIT(A494, ""/""), 0, 2)"),"random")</f>
        <v>random</v>
      </c>
      <c r="J494" s="2" t="b">
        <f t="shared" si="1"/>
        <v>1</v>
      </c>
    </row>
    <row r="495">
      <c r="A495" s="1" t="s">
        <v>2663</v>
      </c>
      <c r="B495" s="3">
        <v>40.0</v>
      </c>
      <c r="C495" s="3">
        <v>60.0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2" t="str">
        <f>IFERROR(__xludf.DUMMYFUNCTION("INDEX(SPLIT(A495, ""/""), 0, 2)"),"random")</f>
        <v>random</v>
      </c>
      <c r="J495" s="2" t="b">
        <f t="shared" si="1"/>
        <v>0</v>
      </c>
    </row>
    <row r="496">
      <c r="A496" s="1" t="s">
        <v>2664</v>
      </c>
      <c r="B496" s="3">
        <v>30611.0</v>
      </c>
      <c r="C496" s="3">
        <v>60.0</v>
      </c>
      <c r="D496" s="3" t="s">
        <v>28</v>
      </c>
      <c r="E496" s="3">
        <v>441.0</v>
      </c>
      <c r="F496" s="3">
        <v>666.0</v>
      </c>
      <c r="G496" s="3">
        <v>14.0</v>
      </c>
      <c r="H496" s="3">
        <v>6.0</v>
      </c>
      <c r="I496" s="2" t="str">
        <f>IFERROR(__xludf.DUMMYFUNCTION("INDEX(SPLIT(A496, ""/""), 0, 2)"),"random")</f>
        <v>random</v>
      </c>
      <c r="J496" s="2" t="b">
        <f t="shared" si="1"/>
        <v>1</v>
      </c>
    </row>
    <row r="497">
      <c r="A497" s="1" t="s">
        <v>2665</v>
      </c>
      <c r="B497" s="3">
        <v>60.0</v>
      </c>
      <c r="C497" s="3">
        <v>60.0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2" t="str">
        <f>IFERROR(__xludf.DUMMYFUNCTION("INDEX(SPLIT(A497, ""/""), 0, 2)"),"random")</f>
        <v>random</v>
      </c>
      <c r="J497" s="2" t="b">
        <f t="shared" si="1"/>
        <v>0</v>
      </c>
    </row>
    <row r="498">
      <c r="A498" s="1" t="s">
        <v>2666</v>
      </c>
      <c r="B498" s="3">
        <v>2009023.0</v>
      </c>
      <c r="C498" s="3">
        <v>60.0</v>
      </c>
      <c r="D498" s="3" t="s">
        <v>28</v>
      </c>
      <c r="E498" s="3" t="s">
        <v>28</v>
      </c>
      <c r="F498" s="3" t="s">
        <v>28</v>
      </c>
      <c r="G498" s="3">
        <v>637.0</v>
      </c>
      <c r="H498" s="3">
        <v>443.0</v>
      </c>
      <c r="I498" s="2" t="str">
        <f>IFERROR(__xludf.DUMMYFUNCTION("INDEX(SPLIT(A498, ""/""), 0, 2)"),"random")</f>
        <v>random</v>
      </c>
      <c r="J498" s="2" t="b">
        <f t="shared" si="1"/>
        <v>1</v>
      </c>
    </row>
    <row r="499">
      <c r="A499" s="1" t="s">
        <v>2667</v>
      </c>
      <c r="B499" s="3">
        <v>11000.0</v>
      </c>
      <c r="C499" s="3">
        <v>60.0</v>
      </c>
      <c r="D499" s="3">
        <v>50157.0</v>
      </c>
      <c r="E499" s="3">
        <v>146.0</v>
      </c>
      <c r="F499" s="3">
        <v>210.0</v>
      </c>
      <c r="G499" s="3">
        <v>11.0</v>
      </c>
      <c r="H499" s="3">
        <v>3.0</v>
      </c>
      <c r="I499" s="2" t="str">
        <f>IFERROR(__xludf.DUMMYFUNCTION("INDEX(SPLIT(A499, ""/""), 0, 2)"),"random")</f>
        <v>random</v>
      </c>
      <c r="J499" s="2" t="b">
        <f t="shared" si="1"/>
        <v>1</v>
      </c>
    </row>
    <row r="500">
      <c r="A500" s="1" t="s">
        <v>2668</v>
      </c>
      <c r="B500" s="3">
        <v>120.0</v>
      </c>
      <c r="C500" s="3">
        <v>60.0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2" t="str">
        <f>IFERROR(__xludf.DUMMYFUNCTION("INDEX(SPLIT(A500, ""/""), 0, 2)"),"random")</f>
        <v>random</v>
      </c>
      <c r="J500" s="2" t="b">
        <f t="shared" si="1"/>
        <v>0</v>
      </c>
    </row>
    <row r="501">
      <c r="A501" s="1" t="s">
        <v>2669</v>
      </c>
      <c r="B501" s="3">
        <v>183349.0</v>
      </c>
      <c r="C501" s="3">
        <v>60.0</v>
      </c>
      <c r="D501" s="3" t="s">
        <v>28</v>
      </c>
      <c r="E501" s="3">
        <v>8553.0</v>
      </c>
      <c r="F501" s="3">
        <v>18696.0</v>
      </c>
      <c r="G501" s="3">
        <v>70.0</v>
      </c>
      <c r="H501" s="3">
        <v>39.0</v>
      </c>
      <c r="I501" s="2" t="str">
        <f>IFERROR(__xludf.DUMMYFUNCTION("INDEX(SPLIT(A501, ""/""), 0, 2)"),"random")</f>
        <v>random</v>
      </c>
      <c r="J501" s="2" t="b">
        <f t="shared" si="1"/>
        <v>1</v>
      </c>
    </row>
    <row r="502">
      <c r="A502" s="1" t="s">
        <v>2670</v>
      </c>
      <c r="B502" s="3">
        <v>200000.0</v>
      </c>
      <c r="C502" s="3">
        <v>60.0</v>
      </c>
      <c r="D502" s="3" t="s">
        <v>28</v>
      </c>
      <c r="E502" s="3">
        <v>334.0</v>
      </c>
      <c r="F502" s="3">
        <v>295.0</v>
      </c>
      <c r="G502" s="3">
        <v>1537.0</v>
      </c>
      <c r="H502" s="3">
        <v>202.0</v>
      </c>
      <c r="I502" s="2" t="str">
        <f>IFERROR(__xludf.DUMMYFUNCTION("INDEX(SPLIT(A502, ""/""), 0, 2)"),"random")</f>
        <v>random</v>
      </c>
      <c r="J502" s="2" t="b">
        <f t="shared" si="1"/>
        <v>1</v>
      </c>
    </row>
    <row r="503">
      <c r="A503" s="1" t="s">
        <v>2671</v>
      </c>
      <c r="B503" s="3">
        <v>33000.0</v>
      </c>
      <c r="C503" s="3">
        <v>60.0</v>
      </c>
      <c r="D503" s="3" t="s">
        <v>28</v>
      </c>
      <c r="E503" s="3">
        <v>1335.0</v>
      </c>
      <c r="F503" s="3">
        <v>2005.0</v>
      </c>
      <c r="G503" s="3">
        <v>29.0</v>
      </c>
      <c r="H503" s="3">
        <v>9.0</v>
      </c>
      <c r="I503" s="2" t="str">
        <f>IFERROR(__xludf.DUMMYFUNCTION("INDEX(SPLIT(A503, ""/""), 0, 2)"),"random")</f>
        <v>random</v>
      </c>
      <c r="J503" s="2" t="b">
        <f t="shared" si="1"/>
        <v>1</v>
      </c>
    </row>
    <row r="504">
      <c r="A504" s="1" t="s">
        <v>2672</v>
      </c>
      <c r="B504" s="3">
        <v>2100.0</v>
      </c>
      <c r="C504" s="3">
        <v>60.0</v>
      </c>
      <c r="D504" s="3">
        <v>822.0</v>
      </c>
      <c r="E504" s="3">
        <v>6.0</v>
      </c>
      <c r="F504" s="3">
        <v>10.0</v>
      </c>
      <c r="G504" s="3">
        <v>2.0</v>
      </c>
      <c r="H504" s="3">
        <v>0.0</v>
      </c>
      <c r="I504" s="2" t="str">
        <f>IFERROR(__xludf.DUMMYFUNCTION("INDEX(SPLIT(A504, ""/""), 0, 2)"),"random")</f>
        <v>random</v>
      </c>
      <c r="J504" s="2" t="b">
        <f t="shared" si="1"/>
        <v>1</v>
      </c>
    </row>
    <row r="505">
      <c r="A505" s="1" t="s">
        <v>2673</v>
      </c>
      <c r="B505" s="3">
        <v>2000.0</v>
      </c>
      <c r="C505" s="3">
        <v>60.0</v>
      </c>
      <c r="D505" s="3">
        <v>163.0</v>
      </c>
      <c r="E505" s="3">
        <v>2.0</v>
      </c>
      <c r="F505" s="3">
        <v>1.0</v>
      </c>
      <c r="G505" s="3">
        <v>9.0</v>
      </c>
      <c r="H505" s="3">
        <v>1.0</v>
      </c>
      <c r="I505" s="2" t="str">
        <f>IFERROR(__xludf.DUMMYFUNCTION("INDEX(SPLIT(A505, ""/""), 0, 2)"),"random")</f>
        <v>random</v>
      </c>
      <c r="J505" s="2" t="b">
        <f t="shared" si="1"/>
        <v>1</v>
      </c>
    </row>
    <row r="506">
      <c r="A506" s="1" t="s">
        <v>2674</v>
      </c>
      <c r="B506" s="3">
        <v>13.0</v>
      </c>
      <c r="C506" s="3">
        <v>60.0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2" t="str">
        <f>IFERROR(__xludf.DUMMYFUNCTION("INDEX(SPLIT(A506, ""/""), 0, 2)"),"random")</f>
        <v>random</v>
      </c>
      <c r="J506" s="2" t="b">
        <f t="shared" si="1"/>
        <v>0</v>
      </c>
    </row>
    <row r="507">
      <c r="A507" s="1" t="s">
        <v>2675</v>
      </c>
      <c r="B507" s="3">
        <v>400000.0</v>
      </c>
      <c r="C507" s="3">
        <v>60.0</v>
      </c>
      <c r="D507" s="3" t="s">
        <v>28</v>
      </c>
      <c r="E507" s="3" t="s">
        <v>28</v>
      </c>
      <c r="F507" s="3" t="s">
        <v>28</v>
      </c>
      <c r="G507" s="3">
        <v>1150.0</v>
      </c>
      <c r="H507" s="3">
        <v>229.0</v>
      </c>
      <c r="I507" s="2" t="str">
        <f>IFERROR(__xludf.DUMMYFUNCTION("INDEX(SPLIT(A507, ""/""), 0, 2)"),"random")</f>
        <v>random</v>
      </c>
      <c r="J507" s="2" t="b">
        <f t="shared" si="1"/>
        <v>1</v>
      </c>
    </row>
    <row r="508">
      <c r="A508" s="1" t="s">
        <v>2676</v>
      </c>
      <c r="B508" s="3">
        <v>12000.0</v>
      </c>
      <c r="C508" s="3">
        <v>60.0</v>
      </c>
      <c r="D508" s="3" t="s">
        <v>28</v>
      </c>
      <c r="E508" s="3">
        <v>309.0</v>
      </c>
      <c r="F508" s="3">
        <v>492.0</v>
      </c>
      <c r="G508" s="3">
        <v>25.0</v>
      </c>
      <c r="H508" s="3">
        <v>6.0</v>
      </c>
      <c r="I508" s="2" t="str">
        <f>IFERROR(__xludf.DUMMYFUNCTION("INDEX(SPLIT(A508, ""/""), 0, 2)"),"random")</f>
        <v>random</v>
      </c>
      <c r="J508" s="2" t="b">
        <f t="shared" si="1"/>
        <v>1</v>
      </c>
    </row>
    <row r="509">
      <c r="A509" s="1" t="s">
        <v>2677</v>
      </c>
      <c r="B509" s="3">
        <v>300000.0</v>
      </c>
      <c r="C509" s="3">
        <v>60.0</v>
      </c>
      <c r="D509" s="3" t="s">
        <v>28</v>
      </c>
      <c r="E509" s="3" t="s">
        <v>28</v>
      </c>
      <c r="F509" s="3" t="s">
        <v>28</v>
      </c>
      <c r="G509" s="3">
        <v>1111.0</v>
      </c>
      <c r="H509" s="3">
        <v>210.0</v>
      </c>
      <c r="I509" s="2" t="str">
        <f>IFERROR(__xludf.DUMMYFUNCTION("INDEX(SPLIT(A509, ""/""), 0, 2)"),"random")</f>
        <v>random</v>
      </c>
      <c r="J509" s="2" t="b">
        <f t="shared" si="1"/>
        <v>1</v>
      </c>
    </row>
    <row r="510">
      <c r="A510" s="1" t="s">
        <v>2678</v>
      </c>
      <c r="B510" s="3">
        <v>12.0</v>
      </c>
      <c r="C510" s="3">
        <v>60.0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2" t="str">
        <f>IFERROR(__xludf.DUMMYFUNCTION("INDEX(SPLIT(A510, ""/""), 0, 2)"),"random")</f>
        <v>random</v>
      </c>
      <c r="J510" s="2" t="b">
        <f t="shared" si="1"/>
        <v>0</v>
      </c>
    </row>
    <row r="511">
      <c r="A511" s="1" t="s">
        <v>2679</v>
      </c>
      <c r="B511" s="3">
        <v>1215.0</v>
      </c>
      <c r="C511" s="3">
        <v>60.0</v>
      </c>
      <c r="D511" s="3">
        <v>370.0</v>
      </c>
      <c r="E511" s="3">
        <v>3.0</v>
      </c>
      <c r="F511" s="3">
        <v>5.0</v>
      </c>
      <c r="G511" s="3">
        <v>2.0</v>
      </c>
      <c r="H511" s="3">
        <v>0.0</v>
      </c>
      <c r="I511" s="2" t="str">
        <f>IFERROR(__xludf.DUMMYFUNCTION("INDEX(SPLIT(A511, ""/""), 0, 2)"),"random")</f>
        <v>random</v>
      </c>
      <c r="J511" s="2" t="b">
        <f t="shared" si="1"/>
        <v>1</v>
      </c>
    </row>
    <row r="512">
      <c r="A512" s="1" t="s">
        <v>2680</v>
      </c>
      <c r="B512" s="3">
        <v>330.0</v>
      </c>
      <c r="C512" s="3">
        <v>60.0</v>
      </c>
      <c r="D512" s="3">
        <v>1.0</v>
      </c>
      <c r="E512" s="3">
        <v>0.0</v>
      </c>
      <c r="F512" s="3">
        <v>0.0</v>
      </c>
      <c r="G512" s="3">
        <v>0.0</v>
      </c>
      <c r="H512" s="3">
        <v>0.0</v>
      </c>
      <c r="I512" s="2" t="str">
        <f>IFERROR(__xludf.DUMMYFUNCTION("INDEX(SPLIT(A512, ""/""), 0, 2)"),"random")</f>
        <v>random</v>
      </c>
      <c r="J512" s="2" t="b">
        <f t="shared" si="1"/>
        <v>0</v>
      </c>
    </row>
    <row r="513">
      <c r="A513" s="1" t="s">
        <v>2681</v>
      </c>
      <c r="B513" s="3">
        <v>3000.0</v>
      </c>
      <c r="C513" s="3">
        <v>60.0</v>
      </c>
      <c r="D513" s="3">
        <v>5254.0</v>
      </c>
      <c r="E513" s="3">
        <v>13.0</v>
      </c>
      <c r="F513" s="3">
        <v>23.0</v>
      </c>
      <c r="G513" s="3">
        <v>7.0</v>
      </c>
      <c r="H513" s="3">
        <v>1.0</v>
      </c>
      <c r="I513" s="2" t="str">
        <f>IFERROR(__xludf.DUMMYFUNCTION("INDEX(SPLIT(A513, ""/""), 0, 2)"),"random")</f>
        <v>random</v>
      </c>
      <c r="J513" s="2" t="b">
        <f t="shared" si="1"/>
        <v>1</v>
      </c>
    </row>
    <row r="514">
      <c r="A514" s="1" t="s">
        <v>2682</v>
      </c>
      <c r="B514" s="3">
        <v>6000.0</v>
      </c>
      <c r="C514" s="3">
        <v>60.0</v>
      </c>
      <c r="D514" s="3">
        <v>1531.0</v>
      </c>
      <c r="E514" s="3">
        <v>6.0</v>
      </c>
      <c r="F514" s="3">
        <v>5.0</v>
      </c>
      <c r="G514" s="3">
        <v>29.0</v>
      </c>
      <c r="H514" s="3">
        <v>4.0</v>
      </c>
      <c r="I514" s="2" t="str">
        <f>IFERROR(__xludf.DUMMYFUNCTION("INDEX(SPLIT(A514, ""/""), 0, 2)"),"random")</f>
        <v>random</v>
      </c>
      <c r="J514" s="2" t="b">
        <f t="shared" si="1"/>
        <v>1</v>
      </c>
    </row>
    <row r="515">
      <c r="A515" s="1" t="s">
        <v>2683</v>
      </c>
      <c r="B515" s="3">
        <v>300.0</v>
      </c>
      <c r="C515" s="3">
        <v>60.0</v>
      </c>
      <c r="D515" s="3">
        <v>5.0</v>
      </c>
      <c r="E515" s="3">
        <v>0.0</v>
      </c>
      <c r="F515" s="3">
        <v>0.0</v>
      </c>
      <c r="G515" s="3">
        <v>0.0</v>
      </c>
      <c r="H515" s="3">
        <v>0.0</v>
      </c>
      <c r="I515" s="2" t="str">
        <f>IFERROR(__xludf.DUMMYFUNCTION("INDEX(SPLIT(A515, ""/""), 0, 2)"),"random")</f>
        <v>random</v>
      </c>
      <c r="J515" s="2" t="b">
        <f t="shared" si="1"/>
        <v>0</v>
      </c>
    </row>
    <row r="516">
      <c r="A516" s="1" t="s">
        <v>2684</v>
      </c>
      <c r="B516" s="3">
        <v>1010329.0</v>
      </c>
      <c r="C516" s="3">
        <v>60.0</v>
      </c>
      <c r="D516" s="3" t="s">
        <v>28</v>
      </c>
      <c r="E516" s="3" t="s">
        <v>28</v>
      </c>
      <c r="F516" s="3" t="s">
        <v>28</v>
      </c>
      <c r="G516" s="3">
        <v>363.0</v>
      </c>
      <c r="H516" s="3">
        <v>224.0</v>
      </c>
      <c r="I516" s="2" t="str">
        <f>IFERROR(__xludf.DUMMYFUNCTION("INDEX(SPLIT(A516, ""/""), 0, 2)"),"random")</f>
        <v>random</v>
      </c>
      <c r="J516" s="2" t="b">
        <f t="shared" si="1"/>
        <v>1</v>
      </c>
    </row>
    <row r="517">
      <c r="A517" s="1" t="s">
        <v>2685</v>
      </c>
      <c r="B517" s="3">
        <v>191.0</v>
      </c>
      <c r="C517" s="3">
        <v>60.0</v>
      </c>
      <c r="D517" s="3">
        <v>1.0</v>
      </c>
      <c r="E517" s="3">
        <v>0.0</v>
      </c>
      <c r="F517" s="3">
        <v>0.0</v>
      </c>
      <c r="G517" s="3">
        <v>0.0</v>
      </c>
      <c r="H517" s="3">
        <v>0.0</v>
      </c>
      <c r="I517" s="2" t="str">
        <f>IFERROR(__xludf.DUMMYFUNCTION("INDEX(SPLIT(A517, ""/""), 0, 2)"),"random")</f>
        <v>random</v>
      </c>
      <c r="J517" s="2" t="b">
        <f t="shared" si="1"/>
        <v>0</v>
      </c>
    </row>
    <row r="518">
      <c r="A518" s="1" t="s">
        <v>2686</v>
      </c>
      <c r="B518" s="3">
        <v>400.0</v>
      </c>
      <c r="C518" s="3">
        <v>60.0</v>
      </c>
      <c r="D518" s="3">
        <v>13.0</v>
      </c>
      <c r="E518" s="3">
        <v>0.0</v>
      </c>
      <c r="F518" s="3">
        <v>0.0</v>
      </c>
      <c r="G518" s="3">
        <v>0.0</v>
      </c>
      <c r="H518" s="3">
        <v>0.0</v>
      </c>
      <c r="I518" s="2" t="str">
        <f>IFERROR(__xludf.DUMMYFUNCTION("INDEX(SPLIT(A518, ""/""), 0, 2)"),"random")</f>
        <v>random</v>
      </c>
      <c r="J518" s="2" t="b">
        <f t="shared" si="1"/>
        <v>1</v>
      </c>
    </row>
    <row r="519">
      <c r="A519" s="1" t="s">
        <v>2687</v>
      </c>
      <c r="B519" s="3">
        <v>3007724.0</v>
      </c>
      <c r="C519" s="3">
        <v>60.0</v>
      </c>
      <c r="D519" s="3" t="s">
        <v>28</v>
      </c>
      <c r="E519" s="3" t="s">
        <v>28</v>
      </c>
      <c r="F519" s="3" t="s">
        <v>28</v>
      </c>
      <c r="G519" s="3">
        <v>906.0</v>
      </c>
      <c r="H519" s="3">
        <v>667.0</v>
      </c>
      <c r="I519" s="2" t="str">
        <f>IFERROR(__xludf.DUMMYFUNCTION("INDEX(SPLIT(A519, ""/""), 0, 2)"),"random")</f>
        <v>random</v>
      </c>
      <c r="J519" s="2" t="b">
        <f t="shared" si="1"/>
        <v>1</v>
      </c>
    </row>
    <row r="520">
      <c r="A520" s="1" t="s">
        <v>2688</v>
      </c>
      <c r="B520" s="3">
        <v>20.0</v>
      </c>
      <c r="C520" s="3">
        <v>60.0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2" t="str">
        <f>IFERROR(__xludf.DUMMYFUNCTION("INDEX(SPLIT(A520, ""/""), 0, 2)"),"random")</f>
        <v>random</v>
      </c>
      <c r="J520" s="2" t="b">
        <f t="shared" si="1"/>
        <v>0</v>
      </c>
    </row>
    <row r="521">
      <c r="A521" s="1" t="s">
        <v>2689</v>
      </c>
      <c r="B521" s="3">
        <v>1100000.0</v>
      </c>
      <c r="C521" s="3">
        <v>60.0</v>
      </c>
      <c r="D521" s="3" t="s">
        <v>28</v>
      </c>
      <c r="E521" s="3" t="s">
        <v>28</v>
      </c>
      <c r="F521" s="3" t="s">
        <v>28</v>
      </c>
      <c r="G521" s="3">
        <v>1560.0</v>
      </c>
      <c r="H521" s="3">
        <v>478.0</v>
      </c>
      <c r="I521" s="2" t="str">
        <f>IFERROR(__xludf.DUMMYFUNCTION("INDEX(SPLIT(A521, ""/""), 0, 2)"),"random")</f>
        <v>random</v>
      </c>
      <c r="J521" s="2" t="b">
        <f t="shared" si="1"/>
        <v>1</v>
      </c>
    </row>
    <row r="522">
      <c r="A522" s="1" t="s">
        <v>2690</v>
      </c>
      <c r="B522" s="3">
        <v>11042.0</v>
      </c>
      <c r="C522" s="3">
        <v>60.0</v>
      </c>
      <c r="D522" s="3">
        <v>50599.0</v>
      </c>
      <c r="E522" s="3">
        <v>145.0</v>
      </c>
      <c r="F522" s="3">
        <v>201.0</v>
      </c>
      <c r="G522" s="3">
        <v>8.0</v>
      </c>
      <c r="H522" s="3">
        <v>2.0</v>
      </c>
      <c r="I522" s="2" t="str">
        <f>IFERROR(__xludf.DUMMYFUNCTION("INDEX(SPLIT(A522, ""/""), 0, 2)"),"random")</f>
        <v>random</v>
      </c>
      <c r="J522" s="2" t="b">
        <f t="shared" si="1"/>
        <v>1</v>
      </c>
    </row>
    <row r="523">
      <c r="A523" s="1" t="s">
        <v>2691</v>
      </c>
      <c r="B523" s="3">
        <v>3300.0</v>
      </c>
      <c r="C523" s="3">
        <v>60.0</v>
      </c>
      <c r="D523" s="3">
        <v>1316.0</v>
      </c>
      <c r="E523" s="3">
        <v>13.0</v>
      </c>
      <c r="F523" s="3">
        <v>17.0</v>
      </c>
      <c r="G523" s="3">
        <v>2.0</v>
      </c>
      <c r="H523" s="3">
        <v>1.0</v>
      </c>
      <c r="I523" s="2" t="str">
        <f>IFERROR(__xludf.DUMMYFUNCTION("INDEX(SPLIT(A523, ""/""), 0, 2)"),"random")</f>
        <v>random</v>
      </c>
      <c r="J523" s="2" t="b">
        <f t="shared" si="1"/>
        <v>1</v>
      </c>
    </row>
    <row r="524">
      <c r="A524" s="1" t="s">
        <v>2692</v>
      </c>
      <c r="B524" s="3">
        <v>1200.0</v>
      </c>
      <c r="C524" s="3">
        <v>60.0</v>
      </c>
      <c r="D524" s="3">
        <v>353.0</v>
      </c>
      <c r="E524" s="3">
        <v>3.0</v>
      </c>
      <c r="F524" s="3">
        <v>5.0</v>
      </c>
      <c r="G524" s="3">
        <v>2.0</v>
      </c>
      <c r="H524" s="3">
        <v>0.0</v>
      </c>
      <c r="I524" s="2" t="str">
        <f>IFERROR(__xludf.DUMMYFUNCTION("INDEX(SPLIT(A524, ""/""), 0, 2)"),"random")</f>
        <v>random</v>
      </c>
      <c r="J524" s="2" t="b">
        <f t="shared" si="1"/>
        <v>1</v>
      </c>
    </row>
    <row r="525">
      <c r="A525" s="1" t="s">
        <v>2693</v>
      </c>
      <c r="B525" s="3">
        <v>62.0</v>
      </c>
      <c r="C525" s="3">
        <v>60.0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2" t="str">
        <f>IFERROR(__xludf.DUMMYFUNCTION("INDEX(SPLIT(A525, ""/""), 0, 2)"),"random")</f>
        <v>random</v>
      </c>
      <c r="J525" s="2" t="b">
        <f t="shared" si="1"/>
        <v>0</v>
      </c>
    </row>
    <row r="526">
      <c r="A526" s="1" t="s">
        <v>2694</v>
      </c>
      <c r="B526" s="3">
        <v>21109.0</v>
      </c>
      <c r="C526" s="3">
        <v>60.0</v>
      </c>
      <c r="D526" s="3" t="s">
        <v>28</v>
      </c>
      <c r="E526" s="3">
        <v>294.0</v>
      </c>
      <c r="F526" s="3">
        <v>410.0</v>
      </c>
      <c r="G526" s="3">
        <v>11.0</v>
      </c>
      <c r="H526" s="3">
        <v>4.0</v>
      </c>
      <c r="I526" s="2" t="str">
        <f>IFERROR(__xludf.DUMMYFUNCTION("INDEX(SPLIT(A526, ""/""), 0, 2)"),"random")</f>
        <v>random</v>
      </c>
      <c r="J526" s="2" t="b">
        <f t="shared" si="1"/>
        <v>1</v>
      </c>
    </row>
    <row r="527">
      <c r="A527" s="1" t="s">
        <v>2695</v>
      </c>
      <c r="B527" s="3">
        <v>900.0</v>
      </c>
      <c r="C527" s="3">
        <v>60.0</v>
      </c>
      <c r="D527" s="3">
        <v>135.0</v>
      </c>
      <c r="E527" s="3">
        <v>1.0</v>
      </c>
      <c r="F527" s="3">
        <v>2.0</v>
      </c>
      <c r="G527" s="3">
        <v>3.0</v>
      </c>
      <c r="H527" s="3">
        <v>0.0</v>
      </c>
      <c r="I527" s="2" t="str">
        <f>IFERROR(__xludf.DUMMYFUNCTION("INDEX(SPLIT(A527, ""/""), 0, 2)"),"random")</f>
        <v>random</v>
      </c>
      <c r="J527" s="2" t="b">
        <f t="shared" si="1"/>
        <v>1</v>
      </c>
    </row>
    <row r="528">
      <c r="A528" s="1" t="s">
        <v>2696</v>
      </c>
      <c r="B528" s="3">
        <v>93124.0</v>
      </c>
      <c r="C528" s="3">
        <v>60.0</v>
      </c>
      <c r="D528" s="3" t="s">
        <v>28</v>
      </c>
      <c r="E528" s="3">
        <v>4195.0</v>
      </c>
      <c r="F528" s="3">
        <v>6876.0</v>
      </c>
      <c r="G528" s="3">
        <v>43.0</v>
      </c>
      <c r="H528" s="3">
        <v>20.0</v>
      </c>
      <c r="I528" s="2" t="str">
        <f>IFERROR(__xludf.DUMMYFUNCTION("INDEX(SPLIT(A528, ""/""), 0, 2)"),"random")</f>
        <v>random</v>
      </c>
      <c r="J528" s="2" t="b">
        <f t="shared" si="1"/>
        <v>1</v>
      </c>
    </row>
    <row r="529">
      <c r="A529" s="1" t="s">
        <v>2697</v>
      </c>
      <c r="B529" s="3">
        <v>273197.0</v>
      </c>
      <c r="C529" s="3">
        <v>60.0</v>
      </c>
      <c r="D529" s="3" t="s">
        <v>28</v>
      </c>
      <c r="E529" s="3">
        <v>12805.0</v>
      </c>
      <c r="F529" s="3">
        <v>36307.0</v>
      </c>
      <c r="G529" s="3">
        <v>96.0</v>
      </c>
      <c r="H529" s="3">
        <v>59.0</v>
      </c>
      <c r="I529" s="2" t="str">
        <f>IFERROR(__xludf.DUMMYFUNCTION("INDEX(SPLIT(A529, ""/""), 0, 2)"),"random")</f>
        <v>random</v>
      </c>
      <c r="J529" s="2" t="b">
        <f t="shared" si="1"/>
        <v>1</v>
      </c>
    </row>
    <row r="530">
      <c r="A530" s="1" t="s">
        <v>2698</v>
      </c>
      <c r="B530" s="3">
        <v>50.0</v>
      </c>
      <c r="C530" s="3">
        <v>60.0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2" t="str">
        <f>IFERROR(__xludf.DUMMYFUNCTION("INDEX(SPLIT(A530, ""/""), 0, 2)"),"random")</f>
        <v>random</v>
      </c>
      <c r="J530" s="2" t="b">
        <f t="shared" si="1"/>
        <v>0</v>
      </c>
    </row>
    <row r="531">
      <c r="A531" s="1" t="s">
        <v>2699</v>
      </c>
      <c r="B531" s="3">
        <v>300.0</v>
      </c>
      <c r="C531" s="3">
        <v>60.0</v>
      </c>
      <c r="D531" s="3">
        <v>7.0</v>
      </c>
      <c r="E531" s="3">
        <v>0.0</v>
      </c>
      <c r="F531" s="3">
        <v>0.0</v>
      </c>
      <c r="G531" s="3">
        <v>0.0</v>
      </c>
      <c r="H531" s="3">
        <v>0.0</v>
      </c>
      <c r="I531" s="2" t="str">
        <f>IFERROR(__xludf.DUMMYFUNCTION("INDEX(SPLIT(A531, ""/""), 0, 2)"),"random")</f>
        <v>random</v>
      </c>
      <c r="J531" s="2" t="b">
        <f t="shared" si="1"/>
        <v>0</v>
      </c>
    </row>
    <row r="532">
      <c r="A532" s="1" t="s">
        <v>2700</v>
      </c>
      <c r="B532" s="3">
        <v>292.0</v>
      </c>
      <c r="C532" s="3">
        <v>60.0</v>
      </c>
      <c r="D532" s="3">
        <v>4.0</v>
      </c>
      <c r="E532" s="3">
        <v>0.0</v>
      </c>
      <c r="F532" s="3">
        <v>0.0</v>
      </c>
      <c r="G532" s="3">
        <v>0.0</v>
      </c>
      <c r="H532" s="3">
        <v>0.0</v>
      </c>
      <c r="I532" s="2" t="str">
        <f>IFERROR(__xludf.DUMMYFUNCTION("INDEX(SPLIT(A532, ""/""), 0, 2)"),"random")</f>
        <v>random</v>
      </c>
      <c r="J532" s="2" t="b">
        <f t="shared" si="1"/>
        <v>0</v>
      </c>
    </row>
    <row r="533">
      <c r="A533" s="1" t="s">
        <v>2701</v>
      </c>
      <c r="B533" s="3">
        <v>40000.0</v>
      </c>
      <c r="C533" s="3">
        <v>60.0</v>
      </c>
      <c r="D533" s="3" t="s">
        <v>28</v>
      </c>
      <c r="E533" s="3">
        <v>3217.0</v>
      </c>
      <c r="F533" s="3">
        <v>5653.0</v>
      </c>
      <c r="G533" s="3">
        <v>88.0</v>
      </c>
      <c r="H533" s="3">
        <v>20.0</v>
      </c>
      <c r="I533" s="2" t="str">
        <f>IFERROR(__xludf.DUMMYFUNCTION("INDEX(SPLIT(A533, ""/""), 0, 2)"),"random")</f>
        <v>random</v>
      </c>
      <c r="J533" s="2" t="b">
        <f t="shared" si="1"/>
        <v>1</v>
      </c>
    </row>
    <row r="534">
      <c r="A534" s="1" t="s">
        <v>2702</v>
      </c>
      <c r="B534" s="3">
        <v>110.0</v>
      </c>
      <c r="C534" s="3">
        <v>60.0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2" t="str">
        <f>IFERROR(__xludf.DUMMYFUNCTION("INDEX(SPLIT(A534, ""/""), 0, 2)"),"random")</f>
        <v>random</v>
      </c>
      <c r="J534" s="2" t="b">
        <f t="shared" si="1"/>
        <v>0</v>
      </c>
    </row>
    <row r="535">
      <c r="A535" s="1" t="s">
        <v>2703</v>
      </c>
      <c r="B535" s="3">
        <v>33000.0</v>
      </c>
      <c r="C535" s="3">
        <v>60.0</v>
      </c>
      <c r="D535" s="3" t="s">
        <v>28</v>
      </c>
      <c r="E535" s="3">
        <v>1368.0</v>
      </c>
      <c r="F535" s="3">
        <v>1962.0</v>
      </c>
      <c r="G535" s="3">
        <v>31.0</v>
      </c>
      <c r="H535" s="3">
        <v>11.0</v>
      </c>
      <c r="I535" s="2" t="str">
        <f>IFERROR(__xludf.DUMMYFUNCTION("INDEX(SPLIT(A535, ""/""), 0, 2)"),"random")</f>
        <v>random</v>
      </c>
      <c r="J535" s="2" t="b">
        <f t="shared" si="1"/>
        <v>1</v>
      </c>
    </row>
    <row r="536">
      <c r="A536" s="1" t="s">
        <v>2704</v>
      </c>
      <c r="B536" s="3">
        <v>200000.0</v>
      </c>
      <c r="C536" s="3">
        <v>60.0</v>
      </c>
      <c r="D536" s="3" t="s">
        <v>28</v>
      </c>
      <c r="E536" s="3">
        <v>306.0</v>
      </c>
      <c r="F536" s="3">
        <v>291.0</v>
      </c>
      <c r="G536" s="3">
        <v>1547.0</v>
      </c>
      <c r="H536" s="3">
        <v>201.0</v>
      </c>
      <c r="I536" s="2" t="str">
        <f>IFERROR(__xludf.DUMMYFUNCTION("INDEX(SPLIT(A536, ""/""), 0, 2)"),"random")</f>
        <v>random</v>
      </c>
      <c r="J536" s="2" t="b">
        <f t="shared" si="1"/>
        <v>1</v>
      </c>
    </row>
    <row r="537">
      <c r="A537" s="1" t="s">
        <v>2705</v>
      </c>
      <c r="B537" s="3">
        <v>400000.0</v>
      </c>
      <c r="C537" s="3">
        <v>60.0</v>
      </c>
      <c r="D537" s="3" t="s">
        <v>28</v>
      </c>
      <c r="E537" s="3" t="s">
        <v>28</v>
      </c>
      <c r="F537" s="3" t="s">
        <v>28</v>
      </c>
      <c r="G537" s="3">
        <v>1178.0</v>
      </c>
      <c r="H537" s="3">
        <v>243.0</v>
      </c>
      <c r="I537" s="2" t="str">
        <f>IFERROR(__xludf.DUMMYFUNCTION("INDEX(SPLIT(A537, ""/""), 0, 2)"),"random")</f>
        <v>random</v>
      </c>
      <c r="J537" s="2" t="b">
        <f t="shared" si="1"/>
        <v>1</v>
      </c>
    </row>
    <row r="538">
      <c r="A538" s="1" t="s">
        <v>2706</v>
      </c>
      <c r="B538" s="3">
        <v>10.0</v>
      </c>
      <c r="C538" s="3">
        <v>60.0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2" t="str">
        <f>IFERROR(__xludf.DUMMYFUNCTION("INDEX(SPLIT(A538, ""/""), 0, 2)"),"random")</f>
        <v>random</v>
      </c>
      <c r="J538" s="2" t="b">
        <f t="shared" si="1"/>
        <v>0</v>
      </c>
    </row>
    <row r="539">
      <c r="A539" s="1" t="s">
        <v>2707</v>
      </c>
      <c r="B539" s="3">
        <v>2000.0</v>
      </c>
      <c r="C539" s="3">
        <v>60.0</v>
      </c>
      <c r="D539" s="3">
        <v>165.0</v>
      </c>
      <c r="E539" s="3">
        <v>1.0</v>
      </c>
      <c r="F539" s="3">
        <v>1.0</v>
      </c>
      <c r="G539" s="3">
        <v>9.0</v>
      </c>
      <c r="H539" s="3">
        <v>1.0</v>
      </c>
      <c r="I539" s="2" t="str">
        <f>IFERROR(__xludf.DUMMYFUNCTION("INDEX(SPLIT(A539, ""/""), 0, 2)"),"random")</f>
        <v>random</v>
      </c>
      <c r="J539" s="2" t="b">
        <f t="shared" si="1"/>
        <v>1</v>
      </c>
    </row>
    <row r="540">
      <c r="A540" s="1" t="s">
        <v>2708</v>
      </c>
      <c r="B540" s="3">
        <v>11000.0</v>
      </c>
      <c r="C540" s="3">
        <v>60.0</v>
      </c>
      <c r="D540" s="3">
        <v>51349.0</v>
      </c>
      <c r="E540" s="3">
        <v>147.0</v>
      </c>
      <c r="F540" s="3">
        <v>207.0</v>
      </c>
      <c r="G540" s="3">
        <v>11.0</v>
      </c>
      <c r="H540" s="3">
        <v>3.0</v>
      </c>
      <c r="I540" s="2" t="str">
        <f>IFERROR(__xludf.DUMMYFUNCTION("INDEX(SPLIT(A540, ""/""), 0, 2)"),"random")</f>
        <v>random</v>
      </c>
      <c r="J540" s="2" t="b">
        <f t="shared" si="1"/>
        <v>1</v>
      </c>
    </row>
    <row r="541">
      <c r="A541" s="1" t="s">
        <v>2709</v>
      </c>
      <c r="B541" s="3">
        <v>2012311.0</v>
      </c>
      <c r="C541" s="3">
        <v>60.0</v>
      </c>
      <c r="D541" s="3" t="s">
        <v>28</v>
      </c>
      <c r="E541" s="3" t="s">
        <v>28</v>
      </c>
      <c r="F541" s="3" t="s">
        <v>28</v>
      </c>
      <c r="G541" s="3">
        <v>637.0</v>
      </c>
      <c r="H541" s="3">
        <v>446.0</v>
      </c>
      <c r="I541" s="2" t="str">
        <f>IFERROR(__xludf.DUMMYFUNCTION("INDEX(SPLIT(A541, ""/""), 0, 2)"),"random")</f>
        <v>random</v>
      </c>
      <c r="J541" s="2" t="b">
        <f t="shared" si="1"/>
        <v>1</v>
      </c>
    </row>
    <row r="542">
      <c r="A542" s="1" t="s">
        <v>2710</v>
      </c>
      <c r="B542" s="3">
        <v>60.0</v>
      </c>
      <c r="C542" s="3">
        <v>60.0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2" t="str">
        <f>IFERROR(__xludf.DUMMYFUNCTION("INDEX(SPLIT(A542, ""/""), 0, 2)"),"random")</f>
        <v>random</v>
      </c>
      <c r="J542" s="2" t="b">
        <f t="shared" si="1"/>
        <v>0</v>
      </c>
    </row>
    <row r="543">
      <c r="A543" s="1" t="s">
        <v>2711</v>
      </c>
      <c r="B543" s="3">
        <v>120.0</v>
      </c>
      <c r="C543" s="3">
        <v>60.0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2" t="str">
        <f>IFERROR(__xludf.DUMMYFUNCTION("INDEX(SPLIT(A543, ""/""), 0, 2)"),"random")</f>
        <v>random</v>
      </c>
      <c r="J543" s="2" t="b">
        <f t="shared" si="1"/>
        <v>0</v>
      </c>
    </row>
    <row r="544">
      <c r="A544" s="1" t="s">
        <v>2712</v>
      </c>
      <c r="B544" s="3">
        <v>199.0</v>
      </c>
      <c r="C544" s="3">
        <v>60.0</v>
      </c>
      <c r="D544" s="3">
        <v>1.0</v>
      </c>
      <c r="E544" s="3">
        <v>0.0</v>
      </c>
      <c r="F544" s="3">
        <v>0.0</v>
      </c>
      <c r="G544" s="3">
        <v>0.0</v>
      </c>
      <c r="H544" s="3">
        <v>0.0</v>
      </c>
      <c r="I544" s="2" t="str">
        <f>IFERROR(__xludf.DUMMYFUNCTION("INDEX(SPLIT(A544, ""/""), 0, 2)"),"random")</f>
        <v>random</v>
      </c>
      <c r="J544" s="2" t="b">
        <f t="shared" si="1"/>
        <v>0</v>
      </c>
    </row>
    <row r="545">
      <c r="A545" s="1" t="s">
        <v>2713</v>
      </c>
      <c r="B545" s="3">
        <v>1010749.0</v>
      </c>
      <c r="C545" s="3">
        <v>60.0</v>
      </c>
      <c r="D545" s="3" t="s">
        <v>28</v>
      </c>
      <c r="E545" s="3" t="s">
        <v>28</v>
      </c>
      <c r="F545" s="3" t="s">
        <v>28</v>
      </c>
      <c r="G545" s="3">
        <v>358.0</v>
      </c>
      <c r="H545" s="3">
        <v>220.0</v>
      </c>
      <c r="I545" s="2" t="str">
        <f>IFERROR(__xludf.DUMMYFUNCTION("INDEX(SPLIT(A545, ""/""), 0, 2)"),"random")</f>
        <v>random</v>
      </c>
      <c r="J545" s="2" t="b">
        <f t="shared" si="1"/>
        <v>1</v>
      </c>
    </row>
    <row r="546">
      <c r="A546" s="1" t="s">
        <v>2714</v>
      </c>
      <c r="B546" s="3">
        <v>3013938.0</v>
      </c>
      <c r="C546" s="3">
        <v>60.0</v>
      </c>
      <c r="D546" s="3" t="s">
        <v>28</v>
      </c>
      <c r="E546" s="3" t="s">
        <v>28</v>
      </c>
      <c r="F546" s="3" t="s">
        <v>28</v>
      </c>
      <c r="G546" s="3">
        <v>906.0</v>
      </c>
      <c r="H546" s="3">
        <v>670.0</v>
      </c>
      <c r="I546" s="2" t="str">
        <f>IFERROR(__xludf.DUMMYFUNCTION("INDEX(SPLIT(A546, ""/""), 0, 2)"),"random")</f>
        <v>random</v>
      </c>
      <c r="J546" s="2" t="b">
        <f t="shared" si="1"/>
        <v>1</v>
      </c>
    </row>
    <row r="547">
      <c r="A547" s="1" t="s">
        <v>2715</v>
      </c>
      <c r="B547" s="3">
        <v>415.0</v>
      </c>
      <c r="C547" s="3">
        <v>60.0</v>
      </c>
      <c r="D547" s="3">
        <v>13.0</v>
      </c>
      <c r="E547" s="3">
        <v>0.0</v>
      </c>
      <c r="F547" s="3">
        <v>0.0</v>
      </c>
      <c r="G547" s="3">
        <v>0.0</v>
      </c>
      <c r="H547" s="3">
        <v>0.0</v>
      </c>
      <c r="I547" s="2" t="str">
        <f>IFERROR(__xludf.DUMMYFUNCTION("INDEX(SPLIT(A547, ""/""), 0, 2)"),"random")</f>
        <v>random</v>
      </c>
      <c r="J547" s="2" t="b">
        <f t="shared" si="1"/>
        <v>1</v>
      </c>
    </row>
    <row r="548">
      <c r="A548" s="1" t="s">
        <v>2716</v>
      </c>
      <c r="B548" s="3">
        <v>1176.0</v>
      </c>
      <c r="C548" s="3">
        <v>60.0</v>
      </c>
      <c r="D548" s="3">
        <v>270.0</v>
      </c>
      <c r="E548" s="3">
        <v>3.0</v>
      </c>
      <c r="F548" s="3">
        <v>5.0</v>
      </c>
      <c r="G548" s="3">
        <v>2.0</v>
      </c>
      <c r="H548" s="3">
        <v>0.0</v>
      </c>
      <c r="I548" s="2" t="str">
        <f>IFERROR(__xludf.DUMMYFUNCTION("INDEX(SPLIT(A548, ""/""), 0, 2)"),"random")</f>
        <v>random</v>
      </c>
      <c r="J548" s="2" t="b">
        <f t="shared" si="1"/>
        <v>1</v>
      </c>
    </row>
    <row r="549">
      <c r="A549" s="1" t="s">
        <v>2717</v>
      </c>
      <c r="B549" s="3">
        <v>12.0</v>
      </c>
      <c r="C549" s="3">
        <v>60.0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2" t="str">
        <f>IFERROR(__xludf.DUMMYFUNCTION("INDEX(SPLIT(A549, ""/""), 0, 2)"),"random")</f>
        <v>random</v>
      </c>
      <c r="J549" s="2" t="b">
        <f t="shared" si="1"/>
        <v>0</v>
      </c>
    </row>
    <row r="550">
      <c r="A550" s="1" t="s">
        <v>2718</v>
      </c>
      <c r="B550" s="3">
        <v>300000.0</v>
      </c>
      <c r="C550" s="3">
        <v>60.0</v>
      </c>
      <c r="D550" s="3" t="s">
        <v>28</v>
      </c>
      <c r="E550" s="3" t="s">
        <v>28</v>
      </c>
      <c r="F550" s="3" t="s">
        <v>28</v>
      </c>
      <c r="G550" s="3">
        <v>1113.0</v>
      </c>
      <c r="H550" s="3">
        <v>208.0</v>
      </c>
      <c r="I550" s="2" t="str">
        <f>IFERROR(__xludf.DUMMYFUNCTION("INDEX(SPLIT(A550, ""/""), 0, 2)"),"random")</f>
        <v>random</v>
      </c>
      <c r="J550" s="2" t="b">
        <f t="shared" si="1"/>
        <v>1</v>
      </c>
    </row>
    <row r="551">
      <c r="A551" s="1" t="s">
        <v>2719</v>
      </c>
      <c r="B551" s="3">
        <v>12000.0</v>
      </c>
      <c r="C551" s="3">
        <v>60.0</v>
      </c>
      <c r="D551" s="3" t="s">
        <v>28</v>
      </c>
      <c r="E551" s="3">
        <v>270.0</v>
      </c>
      <c r="F551" s="3">
        <v>495.0</v>
      </c>
      <c r="G551" s="3">
        <v>38.0</v>
      </c>
      <c r="H551" s="3">
        <v>7.0</v>
      </c>
      <c r="I551" s="2" t="str">
        <f>IFERROR(__xludf.DUMMYFUNCTION("INDEX(SPLIT(A551, ""/""), 0, 2)"),"random")</f>
        <v>random</v>
      </c>
      <c r="J551" s="2" t="b">
        <f t="shared" si="1"/>
        <v>1</v>
      </c>
    </row>
    <row r="552">
      <c r="A552" s="1" t="s">
        <v>2720</v>
      </c>
      <c r="B552" s="3">
        <v>6000.0</v>
      </c>
      <c r="C552" s="3">
        <v>60.0</v>
      </c>
      <c r="D552" s="3">
        <v>1551.0</v>
      </c>
      <c r="E552" s="3">
        <v>6.0</v>
      </c>
      <c r="F552" s="3">
        <v>5.0</v>
      </c>
      <c r="G552" s="3">
        <v>32.0</v>
      </c>
      <c r="H552" s="3">
        <v>4.0</v>
      </c>
      <c r="I552" s="2" t="str">
        <f>IFERROR(__xludf.DUMMYFUNCTION("INDEX(SPLIT(A552, ""/""), 0, 2)"),"random")</f>
        <v>random</v>
      </c>
      <c r="J552" s="2" t="b">
        <f t="shared" si="1"/>
        <v>1</v>
      </c>
    </row>
    <row r="553">
      <c r="A553" s="1" t="s">
        <v>2721</v>
      </c>
      <c r="B553" s="3">
        <v>3000.0</v>
      </c>
      <c r="C553" s="3">
        <v>60.0</v>
      </c>
      <c r="D553" s="3">
        <v>4786.0</v>
      </c>
      <c r="E553" s="3">
        <v>13.0</v>
      </c>
      <c r="F553" s="3">
        <v>24.0</v>
      </c>
      <c r="G553" s="3">
        <v>8.0</v>
      </c>
      <c r="H553" s="3">
        <v>1.0</v>
      </c>
      <c r="I553" s="2" t="str">
        <f>IFERROR(__xludf.DUMMYFUNCTION("INDEX(SPLIT(A553, ""/""), 0, 2)"),"random")</f>
        <v>random</v>
      </c>
      <c r="J553" s="2" t="b">
        <f t="shared" si="1"/>
        <v>1</v>
      </c>
    </row>
    <row r="554">
      <c r="A554" s="1" t="s">
        <v>2722</v>
      </c>
      <c r="B554" s="3">
        <v>10955.0</v>
      </c>
      <c r="C554" s="3">
        <v>60.0</v>
      </c>
      <c r="D554" s="3">
        <v>50874.0</v>
      </c>
      <c r="E554" s="3">
        <v>144.0</v>
      </c>
      <c r="F554" s="3">
        <v>203.0</v>
      </c>
      <c r="G554" s="3">
        <v>8.0</v>
      </c>
      <c r="H554" s="3">
        <v>2.0</v>
      </c>
      <c r="I554" s="2" t="str">
        <f>IFERROR(__xludf.DUMMYFUNCTION("INDEX(SPLIT(A554, ""/""), 0, 2)"),"random")</f>
        <v>random</v>
      </c>
      <c r="J554" s="2" t="b">
        <f t="shared" si="1"/>
        <v>1</v>
      </c>
    </row>
    <row r="555">
      <c r="A555" s="1" t="s">
        <v>2723</v>
      </c>
      <c r="B555" s="3">
        <v>20.0</v>
      </c>
      <c r="C555" s="3">
        <v>60.0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2" t="str">
        <f>IFERROR(__xludf.DUMMYFUNCTION("INDEX(SPLIT(A555, ""/""), 0, 2)"),"random")</f>
        <v>random</v>
      </c>
      <c r="J555" s="2" t="b">
        <f t="shared" si="1"/>
        <v>0</v>
      </c>
    </row>
    <row r="556">
      <c r="A556" s="1" t="s">
        <v>2724</v>
      </c>
      <c r="B556" s="3">
        <v>1200.0</v>
      </c>
      <c r="C556" s="3">
        <v>60.0</v>
      </c>
      <c r="D556" s="3">
        <v>334.0</v>
      </c>
      <c r="E556" s="3">
        <v>2.0</v>
      </c>
      <c r="F556" s="3">
        <v>4.0</v>
      </c>
      <c r="G556" s="3">
        <v>2.0</v>
      </c>
      <c r="H556" s="3">
        <v>0.0</v>
      </c>
      <c r="I556" s="2" t="str">
        <f>IFERROR(__xludf.DUMMYFUNCTION("INDEX(SPLIT(A556, ""/""), 0, 2)"),"random")</f>
        <v>random</v>
      </c>
      <c r="J556" s="2" t="b">
        <f t="shared" si="1"/>
        <v>1</v>
      </c>
    </row>
    <row r="557">
      <c r="A557" s="1" t="s">
        <v>2725</v>
      </c>
      <c r="B557" s="3">
        <v>3300.0</v>
      </c>
      <c r="C557" s="3">
        <v>60.0</v>
      </c>
      <c r="D557" s="3">
        <v>1303.0</v>
      </c>
      <c r="E557" s="3">
        <v>13.0</v>
      </c>
      <c r="F557" s="3">
        <v>19.0</v>
      </c>
      <c r="G557" s="3">
        <v>2.0</v>
      </c>
      <c r="H557" s="3">
        <v>1.0</v>
      </c>
      <c r="I557" s="2" t="str">
        <f>IFERROR(__xludf.DUMMYFUNCTION("INDEX(SPLIT(A557, ""/""), 0, 2)"),"random")</f>
        <v>random</v>
      </c>
      <c r="J557" s="2" t="b">
        <f t="shared" si="1"/>
        <v>1</v>
      </c>
    </row>
    <row r="558">
      <c r="A558" s="1" t="s">
        <v>2726</v>
      </c>
      <c r="B558" s="3">
        <v>37.0</v>
      </c>
      <c r="C558" s="3">
        <v>60.0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2" t="str">
        <f>IFERROR(__xludf.DUMMYFUNCTION("INDEX(SPLIT(A558, ""/""), 0, 2)"),"random")</f>
        <v>random</v>
      </c>
      <c r="J558" s="2" t="b">
        <f t="shared" si="1"/>
        <v>0</v>
      </c>
    </row>
    <row r="559">
      <c r="A559" s="1" t="s">
        <v>2727</v>
      </c>
      <c r="B559" s="3">
        <v>200.0</v>
      </c>
      <c r="C559" s="3">
        <v>60.0</v>
      </c>
      <c r="D559" s="3">
        <v>1.0</v>
      </c>
      <c r="E559" s="3">
        <v>0.0</v>
      </c>
      <c r="F559" s="3">
        <v>0.0</v>
      </c>
      <c r="G559" s="3">
        <v>0.0</v>
      </c>
      <c r="H559" s="3">
        <v>0.0</v>
      </c>
      <c r="I559" s="2" t="str">
        <f>IFERROR(__xludf.DUMMYFUNCTION("INDEX(SPLIT(A559, ""/""), 0, 2)"),"random")</f>
        <v>random</v>
      </c>
      <c r="J559" s="2" t="b">
        <f t="shared" si="1"/>
        <v>0</v>
      </c>
    </row>
    <row r="560">
      <c r="A560" s="1" t="s">
        <v>2728</v>
      </c>
      <c r="B560" s="3">
        <v>6000.0</v>
      </c>
      <c r="C560" s="3">
        <v>60.0</v>
      </c>
      <c r="D560" s="3">
        <v>1540.0</v>
      </c>
      <c r="E560" s="3">
        <v>6.0</v>
      </c>
      <c r="F560" s="3">
        <v>5.0</v>
      </c>
      <c r="G560" s="3">
        <v>31.0</v>
      </c>
      <c r="H560" s="3">
        <v>4.0</v>
      </c>
      <c r="I560" s="2" t="str">
        <f>IFERROR(__xludf.DUMMYFUNCTION("INDEX(SPLIT(A560, ""/""), 0, 2)"),"random")</f>
        <v>random</v>
      </c>
      <c r="J560" s="2" t="b">
        <f t="shared" si="1"/>
        <v>1</v>
      </c>
    </row>
    <row r="561">
      <c r="A561" s="1" t="s">
        <v>2729</v>
      </c>
      <c r="B561" s="3">
        <v>50.0</v>
      </c>
      <c r="C561" s="3">
        <v>60.0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2" t="str">
        <f>IFERROR(__xludf.DUMMYFUNCTION("INDEX(SPLIT(A561, ""/""), 0, 2)"),"random")</f>
        <v>random</v>
      </c>
      <c r="J561" s="2" t="b">
        <f t="shared" si="1"/>
        <v>0</v>
      </c>
    </row>
    <row r="562">
      <c r="A562" s="1" t="s">
        <v>2730</v>
      </c>
      <c r="B562" s="3">
        <v>300.0</v>
      </c>
      <c r="C562" s="3">
        <v>60.0</v>
      </c>
      <c r="D562" s="3">
        <v>6.0</v>
      </c>
      <c r="E562" s="3">
        <v>0.0</v>
      </c>
      <c r="F562" s="3">
        <v>0.0</v>
      </c>
      <c r="G562" s="3">
        <v>0.0</v>
      </c>
      <c r="H562" s="3">
        <v>0.0</v>
      </c>
      <c r="I562" s="2" t="str">
        <f>IFERROR(__xludf.DUMMYFUNCTION("INDEX(SPLIT(A562, ""/""), 0, 2)"),"random")</f>
        <v>random</v>
      </c>
      <c r="J562" s="2" t="b">
        <f t="shared" si="1"/>
        <v>0</v>
      </c>
    </row>
    <row r="563">
      <c r="A563" s="1" t="s">
        <v>2731</v>
      </c>
      <c r="B563" s="3">
        <v>40000.0</v>
      </c>
      <c r="C563" s="3">
        <v>60.0</v>
      </c>
      <c r="D563" s="3" t="s">
        <v>28</v>
      </c>
      <c r="E563" s="3">
        <v>3243.0</v>
      </c>
      <c r="F563" s="3">
        <v>5765.0</v>
      </c>
      <c r="G563" s="3">
        <v>83.0</v>
      </c>
      <c r="H563" s="3">
        <v>17.0</v>
      </c>
      <c r="I563" s="2" t="str">
        <f>IFERROR(__xludf.DUMMYFUNCTION("INDEX(SPLIT(A563, ""/""), 0, 2)"),"random")</f>
        <v>random</v>
      </c>
      <c r="J563" s="2" t="b">
        <f t="shared" si="1"/>
        <v>1</v>
      </c>
    </row>
    <row r="564">
      <c r="A564" s="1" t="s">
        <v>2732</v>
      </c>
      <c r="B564" s="3">
        <v>92580.0</v>
      </c>
      <c r="C564" s="3">
        <v>60.0</v>
      </c>
      <c r="D564" s="3" t="s">
        <v>28</v>
      </c>
      <c r="E564" s="3">
        <v>4179.0</v>
      </c>
      <c r="F564" s="3">
        <v>6875.0</v>
      </c>
      <c r="G564" s="3">
        <v>43.0</v>
      </c>
      <c r="H564" s="3">
        <v>20.0</v>
      </c>
      <c r="I564" s="2" t="str">
        <f>IFERROR(__xludf.DUMMYFUNCTION("INDEX(SPLIT(A564, ""/""), 0, 2)"),"random")</f>
        <v>random</v>
      </c>
      <c r="J564" s="2" t="b">
        <f t="shared" si="1"/>
        <v>1</v>
      </c>
    </row>
    <row r="565">
      <c r="A565" s="1" t="s">
        <v>2733</v>
      </c>
      <c r="B565" s="3">
        <v>900.0</v>
      </c>
      <c r="C565" s="3">
        <v>60.0</v>
      </c>
      <c r="D565" s="3">
        <v>135.0</v>
      </c>
      <c r="E565" s="3">
        <v>1.0</v>
      </c>
      <c r="F565" s="3">
        <v>2.0</v>
      </c>
      <c r="G565" s="3">
        <v>2.0</v>
      </c>
      <c r="H565" s="3">
        <v>0.0</v>
      </c>
      <c r="I565" s="2" t="str">
        <f>IFERROR(__xludf.DUMMYFUNCTION("INDEX(SPLIT(A565, ""/""), 0, 2)"),"random")</f>
        <v>random</v>
      </c>
      <c r="J565" s="2" t="b">
        <f t="shared" si="1"/>
        <v>1</v>
      </c>
    </row>
    <row r="566">
      <c r="A566" s="1" t="s">
        <v>2734</v>
      </c>
      <c r="B566" s="3">
        <v>21121.0</v>
      </c>
      <c r="C566" s="3">
        <v>60.0</v>
      </c>
      <c r="D566" s="3" t="s">
        <v>28</v>
      </c>
      <c r="E566" s="3">
        <v>291.0</v>
      </c>
      <c r="F566" s="3">
        <v>424.0</v>
      </c>
      <c r="G566" s="3">
        <v>11.0</v>
      </c>
      <c r="H566" s="3">
        <v>4.0</v>
      </c>
      <c r="I566" s="2" t="str">
        <f>IFERROR(__xludf.DUMMYFUNCTION("INDEX(SPLIT(A566, ""/""), 0, 2)"),"random")</f>
        <v>random</v>
      </c>
      <c r="J566" s="2" t="b">
        <f t="shared" si="1"/>
        <v>1</v>
      </c>
    </row>
    <row r="567">
      <c r="A567" s="1" t="s">
        <v>2735</v>
      </c>
      <c r="B567" s="3">
        <v>30.0</v>
      </c>
      <c r="C567" s="3">
        <v>60.0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2" t="str">
        <f>IFERROR(__xludf.DUMMYFUNCTION("INDEX(SPLIT(A567, ""/""), 0, 2)"),"random")</f>
        <v>random</v>
      </c>
      <c r="J567" s="2" t="b">
        <f t="shared" si="1"/>
        <v>0</v>
      </c>
    </row>
    <row r="568">
      <c r="A568" s="1" t="s">
        <v>2736</v>
      </c>
      <c r="B568" s="3">
        <v>120000.0</v>
      </c>
      <c r="C568" s="3">
        <v>60.0</v>
      </c>
      <c r="D568" s="3" t="s">
        <v>28</v>
      </c>
      <c r="E568" s="3">
        <v>31663.0</v>
      </c>
      <c r="F568" s="3">
        <v>57508.0</v>
      </c>
      <c r="G568" s="3">
        <v>317.0</v>
      </c>
      <c r="H568" s="3">
        <v>75.0</v>
      </c>
      <c r="I568" s="2" t="str">
        <f>IFERROR(__xludf.DUMMYFUNCTION("INDEX(SPLIT(A568, ""/""), 0, 2)"),"random")</f>
        <v>random</v>
      </c>
      <c r="J568" s="2" t="b">
        <f t="shared" si="1"/>
        <v>1</v>
      </c>
    </row>
    <row r="569">
      <c r="A569" s="1" t="s">
        <v>2737</v>
      </c>
      <c r="B569" s="3">
        <v>272955.0</v>
      </c>
      <c r="C569" s="3">
        <v>60.0</v>
      </c>
      <c r="D569" s="3" t="s">
        <v>28</v>
      </c>
      <c r="E569" s="3">
        <v>12808.0</v>
      </c>
      <c r="F569" s="3">
        <v>36099.0</v>
      </c>
      <c r="G569" s="3">
        <v>95.0</v>
      </c>
      <c r="H569" s="3">
        <v>58.0</v>
      </c>
      <c r="I569" s="2" t="str">
        <f>IFERROR(__xludf.DUMMYFUNCTION("INDEX(SPLIT(A569, ""/""), 0, 2)"),"random")</f>
        <v>random</v>
      </c>
      <c r="J569" s="2" t="b">
        <f t="shared" si="1"/>
        <v>1</v>
      </c>
    </row>
    <row r="570">
      <c r="A570" s="1" t="s">
        <v>2738</v>
      </c>
      <c r="B570" s="3">
        <v>20000.0</v>
      </c>
      <c r="C570" s="3">
        <v>60.0</v>
      </c>
      <c r="D570" s="3">
        <v>17924.0</v>
      </c>
      <c r="E570" s="3">
        <v>22.0</v>
      </c>
      <c r="F570" s="3">
        <v>20.0</v>
      </c>
      <c r="G570" s="3">
        <v>119.0</v>
      </c>
      <c r="H570" s="3">
        <v>15.0</v>
      </c>
      <c r="I570" s="2" t="str">
        <f>IFERROR(__xludf.DUMMYFUNCTION("INDEX(SPLIT(A570, ""/""), 0, 2)"),"random")</f>
        <v>random</v>
      </c>
      <c r="J570" s="2" t="b">
        <f t="shared" si="1"/>
        <v>1</v>
      </c>
    </row>
    <row r="571">
      <c r="A571" s="1" t="s">
        <v>2739</v>
      </c>
      <c r="B571" s="3">
        <v>90.0</v>
      </c>
      <c r="C571" s="3">
        <v>60.0</v>
      </c>
      <c r="D571" s="3">
        <v>0.0</v>
      </c>
      <c r="E571" s="3">
        <v>0.0</v>
      </c>
      <c r="F571" s="3">
        <v>0.0</v>
      </c>
      <c r="G571" s="3">
        <v>0.0</v>
      </c>
      <c r="H571" s="3">
        <v>0.0</v>
      </c>
      <c r="I571" s="2" t="str">
        <f>IFERROR(__xludf.DUMMYFUNCTION("INDEX(SPLIT(A571, ""/""), 0, 2)"),"random")</f>
        <v>random</v>
      </c>
      <c r="J571" s="2" t="b">
        <f t="shared" si="1"/>
        <v>0</v>
      </c>
    </row>
    <row r="572">
      <c r="A572" s="1" t="s">
        <v>2740</v>
      </c>
      <c r="B572" s="3">
        <v>110.0</v>
      </c>
      <c r="C572" s="3">
        <v>60.0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  <c r="I572" s="2" t="str">
        <f>IFERROR(__xludf.DUMMYFUNCTION("INDEX(SPLIT(A572, ""/""), 0, 2)"),"random")</f>
        <v>random</v>
      </c>
      <c r="J572" s="2" t="b">
        <f t="shared" si="1"/>
        <v>0</v>
      </c>
    </row>
    <row r="573">
      <c r="A573" s="1" t="s">
        <v>2741</v>
      </c>
      <c r="B573" s="3">
        <v>3013122.0</v>
      </c>
      <c r="C573" s="3">
        <v>60.0</v>
      </c>
      <c r="D573" s="3" t="s">
        <v>28</v>
      </c>
      <c r="E573" s="3" t="s">
        <v>28</v>
      </c>
      <c r="F573" s="3" t="s">
        <v>28</v>
      </c>
      <c r="G573" s="3">
        <v>908.0</v>
      </c>
      <c r="H573" s="3">
        <v>667.0</v>
      </c>
      <c r="I573" s="2" t="str">
        <f>IFERROR(__xludf.DUMMYFUNCTION("INDEX(SPLIT(A573, ""/""), 0, 2)"),"random")</f>
        <v>random</v>
      </c>
      <c r="J573" s="2" t="b">
        <f t="shared" si="1"/>
        <v>1</v>
      </c>
    </row>
    <row r="574">
      <c r="A574" s="1" t="s">
        <v>2742</v>
      </c>
      <c r="B574" s="3">
        <v>330.0</v>
      </c>
      <c r="C574" s="3">
        <v>60.0</v>
      </c>
      <c r="D574" s="3">
        <v>1.0</v>
      </c>
      <c r="E574" s="3">
        <v>0.0</v>
      </c>
      <c r="F574" s="3">
        <v>0.0</v>
      </c>
      <c r="G574" s="3">
        <v>0.0</v>
      </c>
      <c r="H574" s="3">
        <v>0.0</v>
      </c>
      <c r="I574" s="2" t="str">
        <f>IFERROR(__xludf.DUMMYFUNCTION("INDEX(SPLIT(A574, ""/""), 0, 2)"),"random")</f>
        <v>random</v>
      </c>
      <c r="J574" s="2" t="b">
        <f t="shared" si="1"/>
        <v>0</v>
      </c>
    </row>
    <row r="575">
      <c r="A575" s="1" t="s">
        <v>2743</v>
      </c>
      <c r="B575" s="3">
        <v>120.0</v>
      </c>
      <c r="C575" s="3">
        <v>60.0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  <c r="I575" s="2" t="str">
        <f>IFERROR(__xludf.DUMMYFUNCTION("INDEX(SPLIT(A575, ""/""), 0, 2)"),"random")</f>
        <v>random</v>
      </c>
      <c r="J575" s="2" t="b">
        <f t="shared" si="1"/>
        <v>0</v>
      </c>
    </row>
    <row r="576">
      <c r="A576" s="1" t="s">
        <v>2744</v>
      </c>
      <c r="B576" s="3">
        <v>3055.0</v>
      </c>
      <c r="C576" s="3">
        <v>60.0</v>
      </c>
      <c r="D576" s="3">
        <v>1264.0</v>
      </c>
      <c r="E576" s="3">
        <v>11.0</v>
      </c>
      <c r="F576" s="3">
        <v>16.0</v>
      </c>
      <c r="G576" s="3">
        <v>2.0</v>
      </c>
      <c r="H576" s="3">
        <v>0.0</v>
      </c>
      <c r="I576" s="2" t="str">
        <f>IFERROR(__xludf.DUMMYFUNCTION("INDEX(SPLIT(A576, ""/""), 0, 2)"),"random")</f>
        <v>random</v>
      </c>
      <c r="J576" s="2" t="b">
        <f t="shared" si="1"/>
        <v>1</v>
      </c>
    </row>
    <row r="577">
      <c r="A577" s="1" t="s">
        <v>2745</v>
      </c>
      <c r="B577" s="3">
        <v>2141.0</v>
      </c>
      <c r="C577" s="3">
        <v>60.0</v>
      </c>
      <c r="D577" s="3">
        <v>804.0</v>
      </c>
      <c r="E577" s="3">
        <v>7.0</v>
      </c>
      <c r="F577" s="3">
        <v>10.0</v>
      </c>
      <c r="G577" s="3">
        <v>2.0</v>
      </c>
      <c r="H577" s="3">
        <v>0.0</v>
      </c>
      <c r="I577" s="2" t="str">
        <f>IFERROR(__xludf.DUMMYFUNCTION("INDEX(SPLIT(A577, ""/""), 0, 2)"),"random")</f>
        <v>random</v>
      </c>
      <c r="J577" s="2" t="b">
        <f t="shared" si="1"/>
        <v>1</v>
      </c>
    </row>
    <row r="578">
      <c r="A578" s="1" t="s">
        <v>2746</v>
      </c>
      <c r="B578" s="3">
        <v>12.0</v>
      </c>
      <c r="C578" s="3">
        <v>60.0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2" t="str">
        <f>IFERROR(__xludf.DUMMYFUNCTION("INDEX(SPLIT(A578, ""/""), 0, 2)"),"random")</f>
        <v>random</v>
      </c>
      <c r="J578" s="2" t="b">
        <f t="shared" si="1"/>
        <v>0</v>
      </c>
    </row>
    <row r="579">
      <c r="A579" s="1" t="s">
        <v>2747</v>
      </c>
      <c r="B579" s="3">
        <v>4000.0</v>
      </c>
      <c r="C579" s="3">
        <v>60.0</v>
      </c>
      <c r="D579" s="3">
        <v>13299.0</v>
      </c>
      <c r="E579" s="3">
        <v>29.0</v>
      </c>
      <c r="F579" s="3">
        <v>53.0</v>
      </c>
      <c r="G579" s="3">
        <v>11.0</v>
      </c>
      <c r="H579" s="3">
        <v>2.0</v>
      </c>
      <c r="I579" s="2" t="str">
        <f>IFERROR(__xludf.DUMMYFUNCTION("INDEX(SPLIT(A579, ""/""), 0, 2)"),"random")</f>
        <v>random</v>
      </c>
      <c r="J579" s="2" t="b">
        <f t="shared" si="1"/>
        <v>1</v>
      </c>
    </row>
    <row r="580">
      <c r="A580" s="1" t="s">
        <v>2748</v>
      </c>
      <c r="B580" s="3">
        <v>10948.0</v>
      </c>
      <c r="C580" s="3">
        <v>60.0</v>
      </c>
      <c r="D580" s="3">
        <v>50914.0</v>
      </c>
      <c r="E580" s="3">
        <v>144.0</v>
      </c>
      <c r="F580" s="3">
        <v>200.0</v>
      </c>
      <c r="G580" s="3">
        <v>8.0</v>
      </c>
      <c r="H580" s="3">
        <v>2.0</v>
      </c>
      <c r="I580" s="2" t="str">
        <f>IFERROR(__xludf.DUMMYFUNCTION("INDEX(SPLIT(A580, ""/""), 0, 2)"),"random")</f>
        <v>random</v>
      </c>
      <c r="J580" s="2" t="b">
        <f t="shared" si="1"/>
        <v>1</v>
      </c>
    </row>
    <row r="581">
      <c r="A581" s="1" t="s">
        <v>2749</v>
      </c>
      <c r="B581" s="3">
        <v>9000.0</v>
      </c>
      <c r="C581" s="3">
        <v>60.0</v>
      </c>
      <c r="D581" s="3" t="s">
        <v>28</v>
      </c>
      <c r="E581" s="3">
        <v>111.0</v>
      </c>
      <c r="F581" s="3">
        <v>220.0</v>
      </c>
      <c r="G581" s="3">
        <v>24.0</v>
      </c>
      <c r="H581" s="3">
        <v>5.0</v>
      </c>
      <c r="I581" s="2" t="str">
        <f>IFERROR(__xludf.DUMMYFUNCTION("INDEX(SPLIT(A581, ""/""), 0, 2)"),"random")</f>
        <v>random</v>
      </c>
      <c r="J581" s="2" t="b">
        <f t="shared" si="1"/>
        <v>1</v>
      </c>
    </row>
    <row r="582">
      <c r="A582" s="1" t="s">
        <v>2750</v>
      </c>
      <c r="B582" s="3">
        <v>400000.0</v>
      </c>
      <c r="C582" s="3">
        <v>60.0</v>
      </c>
      <c r="D582" s="3" t="s">
        <v>28</v>
      </c>
      <c r="E582" s="3" t="s">
        <v>28</v>
      </c>
      <c r="F582" s="3" t="s">
        <v>28</v>
      </c>
      <c r="G582" s="3">
        <v>1146.0</v>
      </c>
      <c r="H582" s="3">
        <v>229.0</v>
      </c>
      <c r="I582" s="2" t="str">
        <f>IFERROR(__xludf.DUMMYFUNCTION("INDEX(SPLIT(A582, ""/""), 0, 2)"),"random")</f>
        <v>random</v>
      </c>
      <c r="J582" s="2" t="b">
        <f t="shared" si="1"/>
        <v>1</v>
      </c>
    </row>
    <row r="583">
      <c r="A583" s="1" t="s">
        <v>2751</v>
      </c>
      <c r="B583" s="3">
        <v>280.0</v>
      </c>
      <c r="C583" s="3">
        <v>60.0</v>
      </c>
      <c r="D583" s="3">
        <v>4.0</v>
      </c>
      <c r="E583" s="3">
        <v>0.0</v>
      </c>
      <c r="F583" s="3">
        <v>0.0</v>
      </c>
      <c r="G583" s="3">
        <v>0.0</v>
      </c>
      <c r="H583" s="3">
        <v>0.0</v>
      </c>
      <c r="I583" s="2" t="str">
        <f>IFERROR(__xludf.DUMMYFUNCTION("INDEX(SPLIT(A583, ""/""), 0, 2)"),"random")</f>
        <v>random</v>
      </c>
      <c r="J583" s="2" t="b">
        <f t="shared" si="1"/>
        <v>0</v>
      </c>
    </row>
    <row r="584">
      <c r="A584" s="1" t="s">
        <v>2752</v>
      </c>
      <c r="B584" s="3">
        <v>20000.0</v>
      </c>
      <c r="C584" s="3">
        <v>60.0</v>
      </c>
      <c r="D584" s="3">
        <v>17809.0</v>
      </c>
      <c r="E584" s="3">
        <v>23.0</v>
      </c>
      <c r="F584" s="3">
        <v>20.0</v>
      </c>
      <c r="G584" s="3">
        <v>120.0</v>
      </c>
      <c r="H584" s="3">
        <v>15.0</v>
      </c>
      <c r="I584" s="2" t="str">
        <f>IFERROR(__xludf.DUMMYFUNCTION("INDEX(SPLIT(A584, ""/""), 0, 2)"),"random")</f>
        <v>random</v>
      </c>
      <c r="J584" s="2" t="b">
        <f t="shared" si="1"/>
        <v>1</v>
      </c>
    </row>
    <row r="585">
      <c r="A585" s="1" t="s">
        <v>2753</v>
      </c>
      <c r="B585" s="3">
        <v>1100.0</v>
      </c>
      <c r="C585" s="3">
        <v>60.0</v>
      </c>
      <c r="D585" s="3">
        <v>51.0</v>
      </c>
      <c r="E585" s="3">
        <v>1.0</v>
      </c>
      <c r="F585" s="3">
        <v>2.0</v>
      </c>
      <c r="G585" s="3">
        <v>0.0</v>
      </c>
      <c r="H585" s="3">
        <v>0.0</v>
      </c>
      <c r="I585" s="2" t="str">
        <f>IFERROR(__xludf.DUMMYFUNCTION("INDEX(SPLIT(A585, ""/""), 0, 2)"),"random")</f>
        <v>random</v>
      </c>
      <c r="J585" s="2" t="b">
        <f t="shared" si="1"/>
        <v>1</v>
      </c>
    </row>
    <row r="586">
      <c r="A586" s="1" t="s">
        <v>2754</v>
      </c>
      <c r="B586" s="3">
        <v>60000.0</v>
      </c>
      <c r="C586" s="3">
        <v>60.0</v>
      </c>
      <c r="D586" s="3" t="s">
        <v>28</v>
      </c>
      <c r="E586" s="3">
        <v>85.0</v>
      </c>
      <c r="F586" s="3">
        <v>70.0</v>
      </c>
      <c r="G586" s="3">
        <v>411.0</v>
      </c>
      <c r="H586" s="3">
        <v>53.0</v>
      </c>
      <c r="I586" s="2" t="str">
        <f>IFERROR(__xludf.DUMMYFUNCTION("INDEX(SPLIT(A586, ""/""), 0, 2)"),"random")</f>
        <v>random</v>
      </c>
      <c r="J586" s="2" t="b">
        <f t="shared" si="1"/>
        <v>1</v>
      </c>
    </row>
    <row r="587">
      <c r="A587" s="1" t="s">
        <v>2755</v>
      </c>
      <c r="B587" s="3">
        <v>110000.0</v>
      </c>
      <c r="C587" s="3">
        <v>60.0</v>
      </c>
      <c r="D587" s="3" t="s">
        <v>28</v>
      </c>
      <c r="E587" s="3">
        <v>15891.0</v>
      </c>
      <c r="F587" s="3">
        <v>23212.0</v>
      </c>
      <c r="G587" s="3">
        <v>118.0</v>
      </c>
      <c r="H587" s="3">
        <v>39.0</v>
      </c>
      <c r="I587" s="2" t="str">
        <f>IFERROR(__xludf.DUMMYFUNCTION("INDEX(SPLIT(A587, ""/""), 0, 2)"),"random")</f>
        <v>random</v>
      </c>
      <c r="J587" s="2" t="b">
        <f t="shared" si="1"/>
        <v>1</v>
      </c>
    </row>
    <row r="588">
      <c r="A588" s="1" t="s">
        <v>2756</v>
      </c>
      <c r="B588" s="3">
        <v>30.0</v>
      </c>
      <c r="C588" s="3">
        <v>60.0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2" t="str">
        <f>IFERROR(__xludf.DUMMYFUNCTION("INDEX(SPLIT(A588, ""/""), 0, 2)"),"random")</f>
        <v>random</v>
      </c>
      <c r="J588" s="2" t="b">
        <f t="shared" si="1"/>
        <v>0</v>
      </c>
    </row>
    <row r="589">
      <c r="A589" s="1" t="s">
        <v>2757</v>
      </c>
      <c r="B589" s="3">
        <v>900.0</v>
      </c>
      <c r="C589" s="3">
        <v>60.0</v>
      </c>
      <c r="D589" s="3">
        <v>164.0</v>
      </c>
      <c r="E589" s="3">
        <v>1.0</v>
      </c>
      <c r="F589" s="3">
        <v>2.0</v>
      </c>
      <c r="G589" s="3">
        <v>2.0</v>
      </c>
      <c r="H589" s="3">
        <v>0.0</v>
      </c>
      <c r="I589" s="2" t="str">
        <f>IFERROR(__xludf.DUMMYFUNCTION("INDEX(SPLIT(A589, ""/""), 0, 2)"),"random")</f>
        <v>random</v>
      </c>
      <c r="J589" s="2" t="b">
        <f t="shared" si="1"/>
        <v>1</v>
      </c>
    </row>
    <row r="590">
      <c r="A590" s="1" t="s">
        <v>2758</v>
      </c>
      <c r="B590" s="3">
        <v>330000.0</v>
      </c>
      <c r="C590" s="3">
        <v>60.0</v>
      </c>
      <c r="D590" s="3" t="s">
        <v>28</v>
      </c>
      <c r="E590" s="3" t="s">
        <v>28</v>
      </c>
      <c r="F590" s="3" t="s">
        <v>28</v>
      </c>
      <c r="G590" s="3">
        <v>395.0</v>
      </c>
      <c r="H590" s="3">
        <v>129.0</v>
      </c>
      <c r="I590" s="2" t="str">
        <f>IFERROR(__xludf.DUMMYFUNCTION("INDEX(SPLIT(A590, ""/""), 0, 2)"),"random")</f>
        <v>random</v>
      </c>
      <c r="J590" s="2" t="b">
        <f t="shared" si="1"/>
        <v>1</v>
      </c>
    </row>
    <row r="591">
      <c r="A591" s="1" t="s">
        <v>2759</v>
      </c>
      <c r="B591" s="3">
        <v>1100.0</v>
      </c>
      <c r="C591" s="3">
        <v>60.0</v>
      </c>
      <c r="D591" s="3">
        <v>51.0</v>
      </c>
      <c r="E591" s="3">
        <v>1.0</v>
      </c>
      <c r="F591" s="3">
        <v>2.0</v>
      </c>
      <c r="G591" s="3">
        <v>1.0</v>
      </c>
      <c r="H591" s="3">
        <v>0.0</v>
      </c>
      <c r="I591" s="2" t="str">
        <f>IFERROR(__xludf.DUMMYFUNCTION("INDEX(SPLIT(A591, ""/""), 0, 2)"),"random")</f>
        <v>random</v>
      </c>
      <c r="J591" s="2" t="b">
        <f t="shared" si="1"/>
        <v>1</v>
      </c>
    </row>
    <row r="592">
      <c r="A592" s="1" t="s">
        <v>2760</v>
      </c>
      <c r="B592" s="3">
        <v>120000.0</v>
      </c>
      <c r="C592" s="3">
        <v>60.0</v>
      </c>
      <c r="D592" s="3" t="s">
        <v>28</v>
      </c>
      <c r="E592" s="3">
        <v>31960.0</v>
      </c>
      <c r="F592" s="3">
        <v>56026.0</v>
      </c>
      <c r="G592" s="3">
        <v>290.0</v>
      </c>
      <c r="H592" s="3">
        <v>65.0</v>
      </c>
      <c r="I592" s="2" t="str">
        <f>IFERROR(__xludf.DUMMYFUNCTION("INDEX(SPLIT(A592, ""/""), 0, 2)"),"random")</f>
        <v>random</v>
      </c>
      <c r="J592" s="2" t="b">
        <f t="shared" si="1"/>
        <v>1</v>
      </c>
    </row>
    <row r="593">
      <c r="A593" s="1" t="s">
        <v>2761</v>
      </c>
      <c r="B593" s="3">
        <v>90000.0</v>
      </c>
      <c r="C593" s="3">
        <v>60.0</v>
      </c>
      <c r="D593" s="3" t="s">
        <v>28</v>
      </c>
      <c r="E593" s="3">
        <v>13591.0</v>
      </c>
      <c r="F593" s="3">
        <v>24551.0</v>
      </c>
      <c r="G593" s="3">
        <v>272.0</v>
      </c>
      <c r="H593" s="3">
        <v>53.0</v>
      </c>
      <c r="I593" s="2" t="str">
        <f>IFERROR(__xludf.DUMMYFUNCTION("INDEX(SPLIT(A593, ""/""), 0, 2)"),"random")</f>
        <v>random</v>
      </c>
      <c r="J593" s="2" t="b">
        <f t="shared" si="1"/>
        <v>1</v>
      </c>
    </row>
    <row r="594">
      <c r="A594" s="1" t="s">
        <v>2762</v>
      </c>
      <c r="B594" s="3">
        <v>182624.0</v>
      </c>
      <c r="C594" s="3">
        <v>60.0</v>
      </c>
      <c r="D594" s="3" t="s">
        <v>28</v>
      </c>
      <c r="E594" s="3">
        <v>8687.0</v>
      </c>
      <c r="F594" s="3">
        <v>18336.0</v>
      </c>
      <c r="G594" s="3">
        <v>70.0</v>
      </c>
      <c r="H594" s="3">
        <v>40.0</v>
      </c>
      <c r="I594" s="2" t="str">
        <f>IFERROR(__xludf.DUMMYFUNCTION("INDEX(SPLIT(A594, ""/""), 0, 2)"),"random")</f>
        <v>random</v>
      </c>
      <c r="J594" s="2" t="b">
        <f t="shared" si="1"/>
        <v>1</v>
      </c>
    </row>
    <row r="595">
      <c r="A595" s="1" t="s">
        <v>2763</v>
      </c>
      <c r="B595" s="3">
        <v>1100000.0</v>
      </c>
      <c r="C595" s="3">
        <v>60.0</v>
      </c>
      <c r="D595" s="3" t="s">
        <v>28</v>
      </c>
      <c r="E595" s="3" t="s">
        <v>28</v>
      </c>
      <c r="F595" s="3" t="s">
        <v>28</v>
      </c>
      <c r="G595" s="3">
        <v>1602.0</v>
      </c>
      <c r="H595" s="3">
        <v>512.0</v>
      </c>
      <c r="I595" s="2" t="str">
        <f>IFERROR(__xludf.DUMMYFUNCTION("INDEX(SPLIT(A595, ""/""), 0, 2)"),"random")</f>
        <v>random</v>
      </c>
      <c r="J595" s="2" t="b">
        <f t="shared" si="1"/>
        <v>1</v>
      </c>
    </row>
    <row r="596">
      <c r="A596" s="1" t="s">
        <v>2764</v>
      </c>
      <c r="B596" s="3">
        <v>600.0</v>
      </c>
      <c r="C596" s="3">
        <v>60.0</v>
      </c>
      <c r="D596" s="3">
        <v>14.0</v>
      </c>
      <c r="E596" s="3">
        <v>0.0</v>
      </c>
      <c r="F596" s="3">
        <v>0.0</v>
      </c>
      <c r="G596" s="3">
        <v>3.0</v>
      </c>
      <c r="H596" s="3">
        <v>0.0</v>
      </c>
      <c r="I596" s="2" t="str">
        <f>IFERROR(__xludf.DUMMYFUNCTION("INDEX(SPLIT(A596, ""/""), 0, 2)"),"random")</f>
        <v>random</v>
      </c>
      <c r="J596" s="2" t="b">
        <f t="shared" si="1"/>
        <v>1</v>
      </c>
    </row>
    <row r="597">
      <c r="A597" s="1" t="s">
        <v>2765</v>
      </c>
      <c r="B597" s="3">
        <v>31046.0</v>
      </c>
      <c r="C597" s="3">
        <v>60.0</v>
      </c>
      <c r="D597" s="3" t="s">
        <v>28</v>
      </c>
      <c r="E597" s="3">
        <v>446.0</v>
      </c>
      <c r="F597" s="3">
        <v>682.0</v>
      </c>
      <c r="G597" s="3">
        <v>14.0</v>
      </c>
      <c r="H597" s="3">
        <v>6.0</v>
      </c>
      <c r="I597" s="2" t="str">
        <f>IFERROR(__xludf.DUMMYFUNCTION("INDEX(SPLIT(A597, ""/""), 0, 2)"),"random")</f>
        <v>random</v>
      </c>
      <c r="J597" s="2" t="b">
        <f t="shared" si="1"/>
        <v>1</v>
      </c>
    </row>
    <row r="598">
      <c r="A598" s="1" t="s">
        <v>2766</v>
      </c>
      <c r="B598" s="3">
        <v>400000.0</v>
      </c>
      <c r="C598" s="3">
        <v>60.0</v>
      </c>
      <c r="D598" s="3" t="s">
        <v>28</v>
      </c>
      <c r="E598" s="3" t="s">
        <v>28</v>
      </c>
      <c r="F598" s="3" t="s">
        <v>28</v>
      </c>
      <c r="G598" s="3">
        <v>1276.0</v>
      </c>
      <c r="H598" s="3">
        <v>287.0</v>
      </c>
      <c r="I598" s="2" t="str">
        <f>IFERROR(__xludf.DUMMYFUNCTION("INDEX(SPLIT(A598, ""/""), 0, 2)"),"random")</f>
        <v>random</v>
      </c>
      <c r="J598" s="2" t="b">
        <f t="shared" si="1"/>
        <v>1</v>
      </c>
    </row>
    <row r="599">
      <c r="A599" s="1" t="s">
        <v>2767</v>
      </c>
      <c r="B599" s="3">
        <v>40.0</v>
      </c>
      <c r="C599" s="3">
        <v>60.0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2" t="str">
        <f>IFERROR(__xludf.DUMMYFUNCTION("INDEX(SPLIT(A599, ""/""), 0, 2)"),"random")</f>
        <v>random</v>
      </c>
      <c r="J599" s="2" t="b">
        <f t="shared" si="1"/>
        <v>0</v>
      </c>
    </row>
    <row r="600">
      <c r="A600" s="1" t="s">
        <v>2768</v>
      </c>
      <c r="B600" s="3">
        <v>40.0</v>
      </c>
      <c r="C600" s="3">
        <v>60.0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2" t="str">
        <f>IFERROR(__xludf.DUMMYFUNCTION("INDEX(SPLIT(A600, ""/""), 0, 2)"),"random")</f>
        <v>random</v>
      </c>
      <c r="J600" s="2" t="b">
        <f t="shared" si="1"/>
        <v>0</v>
      </c>
    </row>
    <row r="601">
      <c r="A601" s="1" t="s">
        <v>2769</v>
      </c>
      <c r="B601" s="3">
        <v>200.0</v>
      </c>
      <c r="C601" s="3">
        <v>60.0</v>
      </c>
      <c r="D601" s="3">
        <v>1.0</v>
      </c>
      <c r="E601" s="3">
        <v>0.0</v>
      </c>
      <c r="F601" s="3">
        <v>0.0</v>
      </c>
      <c r="G601" s="3">
        <v>0.0</v>
      </c>
      <c r="H601" s="3">
        <v>0.0</v>
      </c>
      <c r="I601" s="2" t="str">
        <f>IFERROR(__xludf.DUMMYFUNCTION("INDEX(SPLIT(A601, ""/""), 0, 2)"),"random")</f>
        <v>random</v>
      </c>
      <c r="J601" s="2" t="b">
        <f t="shared" si="1"/>
        <v>0</v>
      </c>
    </row>
    <row r="602">
      <c r="A602" s="1" t="s">
        <v>2770</v>
      </c>
      <c r="B602" s="3">
        <v>30000.0</v>
      </c>
      <c r="C602" s="3">
        <v>60.0</v>
      </c>
      <c r="D602" s="3" t="s">
        <v>28</v>
      </c>
      <c r="E602" s="3">
        <v>1412.0</v>
      </c>
      <c r="F602" s="3">
        <v>2481.0</v>
      </c>
      <c r="G602" s="3">
        <v>84.0</v>
      </c>
      <c r="H602" s="3">
        <v>17.0</v>
      </c>
      <c r="I602" s="2" t="str">
        <f>IFERROR(__xludf.DUMMYFUNCTION("INDEX(SPLIT(A602, ""/""), 0, 2)"),"random")</f>
        <v>random</v>
      </c>
      <c r="J602" s="2" t="b">
        <f t="shared" si="1"/>
        <v>1</v>
      </c>
    </row>
    <row r="603">
      <c r="A603" s="1" t="s">
        <v>2771</v>
      </c>
      <c r="B603" s="3">
        <v>59.0</v>
      </c>
      <c r="C603" s="3">
        <v>60.0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2" t="str">
        <f>IFERROR(__xludf.DUMMYFUNCTION("INDEX(SPLIT(A603, ""/""), 0, 2)"),"random")</f>
        <v>random</v>
      </c>
      <c r="J603" s="2" t="b">
        <f t="shared" si="1"/>
        <v>0</v>
      </c>
    </row>
    <row r="604">
      <c r="A604" s="1" t="s">
        <v>2772</v>
      </c>
      <c r="B604" s="3">
        <v>400.0</v>
      </c>
      <c r="C604" s="3">
        <v>60.0</v>
      </c>
      <c r="D604" s="3">
        <v>15.0</v>
      </c>
      <c r="E604" s="3">
        <v>0.0</v>
      </c>
      <c r="F604" s="3">
        <v>0.0</v>
      </c>
      <c r="G604" s="3">
        <v>0.0</v>
      </c>
      <c r="H604" s="3">
        <v>0.0</v>
      </c>
      <c r="I604" s="2" t="str">
        <f>IFERROR(__xludf.DUMMYFUNCTION("INDEX(SPLIT(A604, ""/""), 0, 2)"),"random")</f>
        <v>random</v>
      </c>
      <c r="J604" s="2" t="b">
        <f t="shared" si="1"/>
        <v>1</v>
      </c>
    </row>
    <row r="605">
      <c r="A605" s="1" t="s">
        <v>2773</v>
      </c>
      <c r="B605" s="3">
        <v>403.0</v>
      </c>
      <c r="C605" s="3">
        <v>60.0</v>
      </c>
      <c r="D605" s="3">
        <v>11.0</v>
      </c>
      <c r="E605" s="3">
        <v>0.0</v>
      </c>
      <c r="F605" s="3">
        <v>0.0</v>
      </c>
      <c r="G605" s="3">
        <v>0.0</v>
      </c>
      <c r="H605" s="3">
        <v>0.0</v>
      </c>
      <c r="I605" s="2" t="str">
        <f>IFERROR(__xludf.DUMMYFUNCTION("INDEX(SPLIT(A605, ""/""), 0, 2)"),"random")</f>
        <v>random</v>
      </c>
      <c r="J605" s="2" t="b">
        <f t="shared" si="1"/>
        <v>1</v>
      </c>
    </row>
    <row r="606">
      <c r="A606" s="1" t="s">
        <v>2774</v>
      </c>
      <c r="B606" s="3">
        <v>90000.0</v>
      </c>
      <c r="C606" s="3">
        <v>60.0</v>
      </c>
      <c r="D606" s="3" t="s">
        <v>28</v>
      </c>
      <c r="E606" s="3">
        <v>13479.0</v>
      </c>
      <c r="F606" s="3">
        <v>24961.0</v>
      </c>
      <c r="G606" s="3">
        <v>290.0</v>
      </c>
      <c r="H606" s="3">
        <v>61.0</v>
      </c>
      <c r="I606" s="2" t="str">
        <f>IFERROR(__xludf.DUMMYFUNCTION("INDEX(SPLIT(A606, ""/""), 0, 2)"),"random")</f>
        <v>random</v>
      </c>
      <c r="J606" s="2" t="b">
        <f t="shared" si="1"/>
        <v>1</v>
      </c>
    </row>
    <row r="607">
      <c r="A607" s="1" t="s">
        <v>2775</v>
      </c>
      <c r="B607" s="3">
        <v>1009608.0</v>
      </c>
      <c r="C607" s="3">
        <v>60.0</v>
      </c>
      <c r="D607" s="3" t="s">
        <v>28</v>
      </c>
      <c r="E607" s="3" t="s">
        <v>28</v>
      </c>
      <c r="F607" s="3" t="s">
        <v>28</v>
      </c>
      <c r="G607" s="3">
        <v>410.0</v>
      </c>
      <c r="H607" s="3">
        <v>227.0</v>
      </c>
      <c r="I607" s="2" t="str">
        <f>IFERROR(__xludf.DUMMYFUNCTION("INDEX(SPLIT(A607, ""/""), 0, 2)"),"random")</f>
        <v>random</v>
      </c>
      <c r="J607" s="2" t="b">
        <f t="shared" si="1"/>
        <v>1</v>
      </c>
    </row>
    <row r="608">
      <c r="A608" s="1" t="s">
        <v>2776</v>
      </c>
      <c r="B608" s="3">
        <v>1008870.0</v>
      </c>
      <c r="C608" s="3">
        <v>60.0</v>
      </c>
      <c r="D608" s="3" t="s">
        <v>28</v>
      </c>
      <c r="E608" s="3" t="s">
        <v>28</v>
      </c>
      <c r="F608" s="3" t="s">
        <v>28</v>
      </c>
      <c r="G608" s="3">
        <v>385.0</v>
      </c>
      <c r="H608" s="3">
        <v>224.0</v>
      </c>
      <c r="I608" s="2" t="str">
        <f>IFERROR(__xludf.DUMMYFUNCTION("INDEX(SPLIT(A608, ""/""), 0, 2)"),"random")</f>
        <v>random</v>
      </c>
      <c r="J608" s="2" t="b">
        <f t="shared" si="1"/>
        <v>1</v>
      </c>
    </row>
    <row r="609">
      <c r="A609" s="1" t="s">
        <v>2777</v>
      </c>
      <c r="B609" s="3">
        <v>3000.0</v>
      </c>
      <c r="C609" s="3">
        <v>60.0</v>
      </c>
      <c r="D609" s="3" t="s">
        <v>28</v>
      </c>
      <c r="E609" s="3">
        <v>21.0</v>
      </c>
      <c r="F609" s="3">
        <v>41.0</v>
      </c>
      <c r="G609" s="3">
        <v>19.0</v>
      </c>
      <c r="H609" s="3">
        <v>2.0</v>
      </c>
      <c r="I609" s="2" t="str">
        <f>IFERROR(__xludf.DUMMYFUNCTION("INDEX(SPLIT(A609, ""/""), 0, 2)"),"random")</f>
        <v>random</v>
      </c>
      <c r="J609" s="2" t="b">
        <f t="shared" si="1"/>
        <v>1</v>
      </c>
    </row>
    <row r="610">
      <c r="A610" s="1" t="s">
        <v>2778</v>
      </c>
      <c r="B610" s="3">
        <v>2994.0</v>
      </c>
      <c r="C610" s="3">
        <v>60.0</v>
      </c>
      <c r="D610" s="3">
        <v>1209.0</v>
      </c>
      <c r="E610" s="3">
        <v>11.0</v>
      </c>
      <c r="F610" s="3">
        <v>15.0</v>
      </c>
      <c r="G610" s="3">
        <v>2.0</v>
      </c>
      <c r="H610" s="3">
        <v>0.0</v>
      </c>
      <c r="I610" s="2" t="str">
        <f>IFERROR(__xludf.DUMMYFUNCTION("INDEX(SPLIT(A610, ""/""), 0, 2)"),"random")</f>
        <v>random</v>
      </c>
      <c r="J610" s="2" t="b">
        <f t="shared" si="1"/>
        <v>1</v>
      </c>
    </row>
    <row r="611">
      <c r="A611" s="1" t="s">
        <v>2779</v>
      </c>
      <c r="B611" s="3">
        <v>12000.0</v>
      </c>
      <c r="C611" s="3">
        <v>60.0</v>
      </c>
      <c r="D611" s="3" t="s">
        <v>28</v>
      </c>
      <c r="E611" s="3">
        <v>279.0</v>
      </c>
      <c r="F611" s="3">
        <v>496.0</v>
      </c>
      <c r="G611" s="3">
        <v>24.0</v>
      </c>
      <c r="H611" s="3">
        <v>5.0</v>
      </c>
      <c r="I611" s="2" t="str">
        <f>IFERROR(__xludf.DUMMYFUNCTION("INDEX(SPLIT(A611, ""/""), 0, 2)"),"random")</f>
        <v>random</v>
      </c>
      <c r="J611" s="2" t="b">
        <f t="shared" si="1"/>
        <v>1</v>
      </c>
    </row>
    <row r="612">
      <c r="A612" s="1" t="s">
        <v>2780</v>
      </c>
      <c r="B612" s="3">
        <v>1237.0</v>
      </c>
      <c r="C612" s="3">
        <v>60.0</v>
      </c>
      <c r="D612" s="3">
        <v>329.0</v>
      </c>
      <c r="E612" s="3">
        <v>3.0</v>
      </c>
      <c r="F612" s="3">
        <v>5.0</v>
      </c>
      <c r="G612" s="3">
        <v>2.0</v>
      </c>
      <c r="H612" s="3">
        <v>0.0</v>
      </c>
      <c r="I612" s="2" t="str">
        <f>IFERROR(__xludf.DUMMYFUNCTION("INDEX(SPLIT(A612, ""/""), 0, 2)"),"random")</f>
        <v>random</v>
      </c>
      <c r="J612" s="2" t="b">
        <f t="shared" si="1"/>
        <v>1</v>
      </c>
    </row>
    <row r="613">
      <c r="A613" s="1" t="s">
        <v>2781</v>
      </c>
      <c r="B613" s="3">
        <v>330.0</v>
      </c>
      <c r="C613" s="3">
        <v>60.0</v>
      </c>
      <c r="D613" s="3">
        <v>1.0</v>
      </c>
      <c r="E613" s="3">
        <v>0.0</v>
      </c>
      <c r="F613" s="3">
        <v>0.0</v>
      </c>
      <c r="G613" s="3">
        <v>0.0</v>
      </c>
      <c r="H613" s="3">
        <v>0.0</v>
      </c>
      <c r="I613" s="2" t="str">
        <f>IFERROR(__xludf.DUMMYFUNCTION("INDEX(SPLIT(A613, ""/""), 0, 2)"),"random")</f>
        <v>random</v>
      </c>
      <c r="J613" s="2" t="b">
        <f t="shared" si="1"/>
        <v>0</v>
      </c>
    </row>
    <row r="614">
      <c r="A614" s="1" t="s">
        <v>2782</v>
      </c>
      <c r="B614" s="3">
        <v>13.0</v>
      </c>
      <c r="C614" s="3">
        <v>60.0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2" t="str">
        <f>IFERROR(__xludf.DUMMYFUNCTION("INDEX(SPLIT(A614, ""/""), 0, 2)"),"random")</f>
        <v>random</v>
      </c>
      <c r="J614" s="2" t="b">
        <f t="shared" si="1"/>
        <v>0</v>
      </c>
    </row>
    <row r="615">
      <c r="A615" s="1" t="s">
        <v>2783</v>
      </c>
      <c r="B615" s="3">
        <v>200000.0</v>
      </c>
      <c r="C615" s="3">
        <v>60.0</v>
      </c>
      <c r="D615" s="3" t="s">
        <v>28</v>
      </c>
      <c r="E615" s="3">
        <v>338.0</v>
      </c>
      <c r="F615" s="3">
        <v>291.0</v>
      </c>
      <c r="G615" s="3">
        <v>1577.0</v>
      </c>
      <c r="H615" s="3">
        <v>203.0</v>
      </c>
      <c r="I615" s="2" t="str">
        <f>IFERROR(__xludf.DUMMYFUNCTION("INDEX(SPLIT(A615, ""/""), 0, 2)"),"random")</f>
        <v>random</v>
      </c>
      <c r="J615" s="2" t="b">
        <f t="shared" si="1"/>
        <v>1</v>
      </c>
    </row>
    <row r="616">
      <c r="A616" s="1" t="s">
        <v>2784</v>
      </c>
      <c r="B616" s="3">
        <v>33000.0</v>
      </c>
      <c r="C616" s="3">
        <v>60.0</v>
      </c>
      <c r="D616" s="3" t="s">
        <v>28</v>
      </c>
      <c r="E616" s="3">
        <v>1365.0</v>
      </c>
      <c r="F616" s="3">
        <v>2031.0</v>
      </c>
      <c r="G616" s="3">
        <v>28.0</v>
      </c>
      <c r="H616" s="3">
        <v>9.0</v>
      </c>
      <c r="I616" s="2" t="str">
        <f>IFERROR(__xludf.DUMMYFUNCTION("INDEX(SPLIT(A616, ""/""), 0, 2)"),"random")</f>
        <v>random</v>
      </c>
      <c r="J616" s="2" t="b">
        <f t="shared" si="1"/>
        <v>1</v>
      </c>
    </row>
    <row r="617">
      <c r="A617" s="1" t="s">
        <v>2785</v>
      </c>
      <c r="B617" s="3">
        <v>2181.0</v>
      </c>
      <c r="C617" s="3">
        <v>60.0</v>
      </c>
      <c r="D617" s="3">
        <v>865.0</v>
      </c>
      <c r="E617" s="3">
        <v>7.0</v>
      </c>
      <c r="F617" s="3">
        <v>10.0</v>
      </c>
      <c r="G617" s="3">
        <v>2.0</v>
      </c>
      <c r="H617" s="3">
        <v>0.0</v>
      </c>
      <c r="I617" s="2" t="str">
        <f>IFERROR(__xludf.DUMMYFUNCTION("INDEX(SPLIT(A617, ""/""), 0, 2)"),"random")</f>
        <v>random</v>
      </c>
      <c r="J617" s="2" t="b">
        <f t="shared" si="1"/>
        <v>1</v>
      </c>
    </row>
    <row r="618">
      <c r="A618" s="1" t="s">
        <v>2786</v>
      </c>
      <c r="B618" s="3">
        <v>120.0</v>
      </c>
      <c r="C618" s="3">
        <v>60.0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2" t="str">
        <f>IFERROR(__xludf.DUMMYFUNCTION("INDEX(SPLIT(A618, ""/""), 0, 2)"),"random")</f>
        <v>random</v>
      </c>
      <c r="J618" s="2" t="b">
        <f t="shared" si="1"/>
        <v>0</v>
      </c>
    </row>
    <row r="619">
      <c r="A619" s="1" t="s">
        <v>2787</v>
      </c>
      <c r="B619" s="3">
        <v>11000.0</v>
      </c>
      <c r="C619" s="3">
        <v>60.0</v>
      </c>
      <c r="D619" s="3">
        <v>49994.0</v>
      </c>
      <c r="E619" s="3">
        <v>149.0</v>
      </c>
      <c r="F619" s="3">
        <v>211.0</v>
      </c>
      <c r="G619" s="3">
        <v>10.0</v>
      </c>
      <c r="H619" s="3">
        <v>3.0</v>
      </c>
      <c r="I619" s="2" t="str">
        <f>IFERROR(__xludf.DUMMYFUNCTION("INDEX(SPLIT(A619, ""/""), 0, 2)"),"random")</f>
        <v>random</v>
      </c>
      <c r="J619" s="2" t="b">
        <f t="shared" si="1"/>
        <v>1</v>
      </c>
    </row>
    <row r="620">
      <c r="A620" s="1" t="s">
        <v>2788</v>
      </c>
      <c r="B620" s="3">
        <v>40000.0</v>
      </c>
      <c r="C620" s="3">
        <v>60.0</v>
      </c>
      <c r="D620" s="3" t="s">
        <v>28</v>
      </c>
      <c r="E620" s="3">
        <v>3289.0</v>
      </c>
      <c r="F620" s="3">
        <v>5762.0</v>
      </c>
      <c r="G620" s="3">
        <v>86.0</v>
      </c>
      <c r="H620" s="3">
        <v>17.0</v>
      </c>
      <c r="I620" s="2" t="str">
        <f>IFERROR(__xludf.DUMMYFUNCTION("INDEX(SPLIT(A620, ""/""), 0, 2)"),"random")</f>
        <v>random</v>
      </c>
      <c r="J620" s="2" t="b">
        <f t="shared" si="1"/>
        <v>1</v>
      </c>
    </row>
    <row r="621">
      <c r="A621" s="1" t="s">
        <v>2789</v>
      </c>
      <c r="B621" s="3">
        <v>20000.0</v>
      </c>
      <c r="C621" s="3">
        <v>60.0</v>
      </c>
      <c r="D621" s="3">
        <v>17894.0</v>
      </c>
      <c r="E621" s="3">
        <v>22.0</v>
      </c>
      <c r="F621" s="3">
        <v>20.0</v>
      </c>
      <c r="G621" s="3">
        <v>118.0</v>
      </c>
      <c r="H621" s="3">
        <v>15.0</v>
      </c>
      <c r="I621" s="2" t="str">
        <f>IFERROR(__xludf.DUMMYFUNCTION("INDEX(SPLIT(A621, ""/""), 0, 2)"),"random")</f>
        <v>random</v>
      </c>
      <c r="J621" s="2" t="b">
        <f t="shared" si="1"/>
        <v>1</v>
      </c>
    </row>
    <row r="622">
      <c r="A622" s="1" t="s">
        <v>2790</v>
      </c>
      <c r="B622" s="3">
        <v>300.0</v>
      </c>
      <c r="C622" s="3">
        <v>60.0</v>
      </c>
      <c r="D622" s="3">
        <v>8.0</v>
      </c>
      <c r="E622" s="3">
        <v>0.0</v>
      </c>
      <c r="F622" s="3">
        <v>0.0</v>
      </c>
      <c r="G622" s="3">
        <v>0.0</v>
      </c>
      <c r="H622" s="3">
        <v>0.0</v>
      </c>
      <c r="I622" s="2" t="str">
        <f>IFERROR(__xludf.DUMMYFUNCTION("INDEX(SPLIT(A622, ""/""), 0, 2)"),"random")</f>
        <v>random</v>
      </c>
      <c r="J622" s="2" t="b">
        <f t="shared" si="1"/>
        <v>0</v>
      </c>
    </row>
    <row r="623">
      <c r="A623" s="1" t="s">
        <v>2791</v>
      </c>
      <c r="B623" s="3">
        <v>46.0</v>
      </c>
      <c r="C623" s="3">
        <v>60.0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2" t="str">
        <f>IFERROR(__xludf.DUMMYFUNCTION("INDEX(SPLIT(A623, ""/""), 0, 2)"),"random")</f>
        <v>random</v>
      </c>
      <c r="J623" s="2" t="b">
        <f t="shared" si="1"/>
        <v>0</v>
      </c>
    </row>
    <row r="624">
      <c r="A624" s="1" t="s">
        <v>2792</v>
      </c>
      <c r="B624" s="3">
        <v>273387.0</v>
      </c>
      <c r="C624" s="3">
        <v>60.0</v>
      </c>
      <c r="D624" s="3" t="s">
        <v>28</v>
      </c>
      <c r="E624" s="3">
        <v>12935.0</v>
      </c>
      <c r="F624" s="3">
        <v>36526.0</v>
      </c>
      <c r="G624" s="3">
        <v>97.0</v>
      </c>
      <c r="H624" s="3">
        <v>58.0</v>
      </c>
      <c r="I624" s="2" t="str">
        <f>IFERROR(__xludf.DUMMYFUNCTION("INDEX(SPLIT(A624, ""/""), 0, 2)"),"random")</f>
        <v>random</v>
      </c>
      <c r="J624" s="2" t="b">
        <f t="shared" si="1"/>
        <v>1</v>
      </c>
    </row>
    <row r="625">
      <c r="A625" s="1" t="s">
        <v>2793</v>
      </c>
      <c r="B625" s="3">
        <v>120000.0</v>
      </c>
      <c r="C625" s="3">
        <v>60.0</v>
      </c>
      <c r="D625" s="3" t="s">
        <v>28</v>
      </c>
      <c r="E625" s="3">
        <v>32290.0</v>
      </c>
      <c r="F625" s="3">
        <v>57464.0</v>
      </c>
      <c r="G625" s="3">
        <v>291.0</v>
      </c>
      <c r="H625" s="3">
        <v>66.0</v>
      </c>
      <c r="I625" s="2" t="str">
        <f>IFERROR(__xludf.DUMMYFUNCTION("INDEX(SPLIT(A625, ""/""), 0, 2)"),"random")</f>
        <v>random</v>
      </c>
      <c r="J625" s="2" t="b">
        <f t="shared" si="1"/>
        <v>1</v>
      </c>
    </row>
    <row r="626">
      <c r="A626" s="1" t="s">
        <v>2794</v>
      </c>
      <c r="B626" s="3">
        <v>30.0</v>
      </c>
      <c r="C626" s="3">
        <v>60.0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2" t="str">
        <f>IFERROR(__xludf.DUMMYFUNCTION("INDEX(SPLIT(A626, ""/""), 0, 2)"),"random")</f>
        <v>random</v>
      </c>
      <c r="J626" s="2" t="b">
        <f t="shared" si="1"/>
        <v>0</v>
      </c>
    </row>
    <row r="627">
      <c r="A627" s="1" t="s">
        <v>2795</v>
      </c>
      <c r="B627" s="3">
        <v>30.0</v>
      </c>
      <c r="C627" s="3">
        <v>60.0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2" t="str">
        <f>IFERROR(__xludf.DUMMYFUNCTION("INDEX(SPLIT(A627, ""/""), 0, 2)"),"random")</f>
        <v>random</v>
      </c>
      <c r="J627" s="2" t="b">
        <f t="shared" si="1"/>
        <v>0</v>
      </c>
    </row>
    <row r="628">
      <c r="A628" s="1" t="s">
        <v>2796</v>
      </c>
      <c r="B628" s="3">
        <v>20821.0</v>
      </c>
      <c r="C628" s="3">
        <v>60.0</v>
      </c>
      <c r="D628" s="3" t="s">
        <v>28</v>
      </c>
      <c r="E628" s="3">
        <v>291.0</v>
      </c>
      <c r="F628" s="3">
        <v>418.0</v>
      </c>
      <c r="G628" s="3">
        <v>11.0</v>
      </c>
      <c r="H628" s="3">
        <v>4.0</v>
      </c>
      <c r="I628" s="2" t="str">
        <f>IFERROR(__xludf.DUMMYFUNCTION("INDEX(SPLIT(A628, ""/""), 0, 2)"),"random")</f>
        <v>random</v>
      </c>
      <c r="J628" s="2" t="b">
        <f t="shared" si="1"/>
        <v>1</v>
      </c>
    </row>
    <row r="629">
      <c r="A629" s="1" t="s">
        <v>2797</v>
      </c>
      <c r="B629" s="3">
        <v>110000.0</v>
      </c>
      <c r="C629" s="3">
        <v>60.0</v>
      </c>
      <c r="D629" s="3" t="s">
        <v>28</v>
      </c>
      <c r="E629" s="3">
        <v>15979.0</v>
      </c>
      <c r="F629" s="3">
        <v>22615.0</v>
      </c>
      <c r="G629" s="3">
        <v>104.0</v>
      </c>
      <c r="H629" s="3">
        <v>34.0</v>
      </c>
      <c r="I629" s="2" t="str">
        <f>IFERROR(__xludf.DUMMYFUNCTION("INDEX(SPLIT(A629, ""/""), 0, 2)"),"random")</f>
        <v>random</v>
      </c>
      <c r="J629" s="2" t="b">
        <f t="shared" si="1"/>
        <v>1</v>
      </c>
    </row>
    <row r="630">
      <c r="A630" s="1" t="s">
        <v>2798</v>
      </c>
      <c r="B630" s="3">
        <v>3300.0</v>
      </c>
      <c r="C630" s="3">
        <v>60.0</v>
      </c>
      <c r="D630" s="3">
        <v>1326.0</v>
      </c>
      <c r="E630" s="3">
        <v>13.0</v>
      </c>
      <c r="F630" s="3">
        <v>19.0</v>
      </c>
      <c r="G630" s="3">
        <v>2.0</v>
      </c>
      <c r="H630" s="3">
        <v>1.0</v>
      </c>
      <c r="I630" s="2" t="str">
        <f>IFERROR(__xludf.DUMMYFUNCTION("INDEX(SPLIT(A630, ""/""), 0, 2)"),"random")</f>
        <v>random</v>
      </c>
      <c r="J630" s="2" t="b">
        <f t="shared" si="1"/>
        <v>1</v>
      </c>
    </row>
    <row r="631">
      <c r="A631" s="1" t="s">
        <v>2799</v>
      </c>
      <c r="B631" s="3">
        <v>40.0</v>
      </c>
      <c r="C631" s="3">
        <v>60.0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2" t="str">
        <f>IFERROR(__xludf.DUMMYFUNCTION("INDEX(SPLIT(A631, ""/""), 0, 2)"),"random")</f>
        <v>random</v>
      </c>
      <c r="J631" s="2" t="b">
        <f t="shared" si="1"/>
        <v>0</v>
      </c>
    </row>
    <row r="632">
      <c r="A632" s="1" t="s">
        <v>2800</v>
      </c>
      <c r="B632" s="3">
        <v>1100000.0</v>
      </c>
      <c r="C632" s="3">
        <v>60.0</v>
      </c>
      <c r="D632" s="3" t="s">
        <v>28</v>
      </c>
      <c r="E632" s="3" t="s">
        <v>28</v>
      </c>
      <c r="F632" s="3" t="s">
        <v>28</v>
      </c>
      <c r="G632" s="3">
        <v>1737.0</v>
      </c>
      <c r="H632" s="3">
        <v>547.0</v>
      </c>
      <c r="I632" s="2" t="str">
        <f>IFERROR(__xludf.DUMMYFUNCTION("INDEX(SPLIT(A632, ""/""), 0, 2)"),"random")</f>
        <v>random</v>
      </c>
      <c r="J632" s="2" t="b">
        <f t="shared" si="1"/>
        <v>1</v>
      </c>
    </row>
    <row r="633">
      <c r="A633" s="1" t="s">
        <v>2801</v>
      </c>
      <c r="B633" s="3">
        <v>20.0</v>
      </c>
      <c r="C633" s="3">
        <v>60.0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2" t="str">
        <f>IFERROR(__xludf.DUMMYFUNCTION("INDEX(SPLIT(A633, ""/""), 0, 2)"),"random")</f>
        <v>random</v>
      </c>
      <c r="J633" s="2" t="b">
        <f t="shared" si="1"/>
        <v>0</v>
      </c>
    </row>
    <row r="634">
      <c r="A634" s="1" t="s">
        <v>2802</v>
      </c>
      <c r="B634" s="3">
        <v>90000.0</v>
      </c>
      <c r="C634" s="3">
        <v>60.0</v>
      </c>
      <c r="D634" s="3" t="s">
        <v>28</v>
      </c>
      <c r="E634" s="3">
        <v>13483.0</v>
      </c>
      <c r="F634" s="3">
        <v>24620.0</v>
      </c>
      <c r="G634" s="3">
        <v>271.0</v>
      </c>
      <c r="H634" s="3">
        <v>53.0</v>
      </c>
      <c r="I634" s="2" t="str">
        <f>IFERROR(__xludf.DUMMYFUNCTION("INDEX(SPLIT(A634, ""/""), 0, 2)"),"random")</f>
        <v>random</v>
      </c>
      <c r="J634" s="2" t="b">
        <f t="shared" si="1"/>
        <v>1</v>
      </c>
    </row>
    <row r="635">
      <c r="A635" s="1" t="s">
        <v>2803</v>
      </c>
      <c r="B635" s="3">
        <v>200.0</v>
      </c>
      <c r="C635" s="3">
        <v>60.0</v>
      </c>
      <c r="D635" s="3">
        <v>1.0</v>
      </c>
      <c r="E635" s="3">
        <v>0.0</v>
      </c>
      <c r="F635" s="3">
        <v>0.0</v>
      </c>
      <c r="G635" s="3">
        <v>0.0</v>
      </c>
      <c r="H635" s="3">
        <v>0.0</v>
      </c>
      <c r="I635" s="2" t="str">
        <f>IFERROR(__xludf.DUMMYFUNCTION("INDEX(SPLIT(A635, ""/""), 0, 2)"),"random")</f>
        <v>random</v>
      </c>
      <c r="J635" s="2" t="b">
        <f t="shared" si="1"/>
        <v>0</v>
      </c>
    </row>
    <row r="636">
      <c r="A636" s="1" t="s">
        <v>2804</v>
      </c>
      <c r="B636" s="3">
        <v>46.0</v>
      </c>
      <c r="C636" s="3">
        <v>60.0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2" t="str">
        <f>IFERROR(__xludf.DUMMYFUNCTION("INDEX(SPLIT(A636, ""/""), 0, 2)"),"random")</f>
        <v>random</v>
      </c>
      <c r="J636" s="2" t="b">
        <f t="shared" si="1"/>
        <v>0</v>
      </c>
    </row>
    <row r="637">
      <c r="A637" s="1" t="s">
        <v>2805</v>
      </c>
      <c r="B637" s="3">
        <v>12.0</v>
      </c>
      <c r="C637" s="3">
        <v>60.0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2" t="str">
        <f>IFERROR(__xludf.DUMMYFUNCTION("INDEX(SPLIT(A637, ""/""), 0, 2)"),"random")</f>
        <v>random</v>
      </c>
      <c r="J637" s="2" t="b">
        <f t="shared" si="1"/>
        <v>0</v>
      </c>
    </row>
    <row r="638">
      <c r="A638" s="1" t="s">
        <v>2806</v>
      </c>
      <c r="B638" s="3">
        <v>2000.0</v>
      </c>
      <c r="C638" s="3">
        <v>60.0</v>
      </c>
      <c r="D638" s="3">
        <v>166.0</v>
      </c>
      <c r="E638" s="3">
        <v>3.0</v>
      </c>
      <c r="F638" s="3">
        <v>1.0</v>
      </c>
      <c r="G638" s="3">
        <v>9.0</v>
      </c>
      <c r="H638" s="3">
        <v>1.0</v>
      </c>
      <c r="I638" s="2" t="str">
        <f>IFERROR(__xludf.DUMMYFUNCTION("INDEX(SPLIT(A638, ""/""), 0, 2)"),"random")</f>
        <v>random</v>
      </c>
      <c r="J638" s="2" t="b">
        <f t="shared" si="1"/>
        <v>1</v>
      </c>
    </row>
    <row r="639">
      <c r="A639" s="1" t="s">
        <v>2807</v>
      </c>
      <c r="B639" s="3">
        <v>9000.0</v>
      </c>
      <c r="C639" s="3">
        <v>60.0</v>
      </c>
      <c r="D639" s="3" t="s">
        <v>28</v>
      </c>
      <c r="E639" s="3">
        <v>111.0</v>
      </c>
      <c r="F639" s="3">
        <v>206.0</v>
      </c>
      <c r="G639" s="3">
        <v>27.0</v>
      </c>
      <c r="H639" s="3">
        <v>5.0</v>
      </c>
      <c r="I639" s="2" t="str">
        <f>IFERROR(__xludf.DUMMYFUNCTION("INDEX(SPLIT(A639, ""/""), 0, 2)"),"random")</f>
        <v>random</v>
      </c>
      <c r="J639" s="2" t="b">
        <f t="shared" si="1"/>
        <v>1</v>
      </c>
    </row>
    <row r="640">
      <c r="A640" s="1" t="s">
        <v>2808</v>
      </c>
      <c r="B640" s="3">
        <v>400000.0</v>
      </c>
      <c r="C640" s="3">
        <v>60.0</v>
      </c>
      <c r="D640" s="3" t="s">
        <v>28</v>
      </c>
      <c r="E640" s="3" t="s">
        <v>28</v>
      </c>
      <c r="F640" s="3" t="s">
        <v>28</v>
      </c>
      <c r="G640" s="3">
        <v>1144.0</v>
      </c>
      <c r="H640" s="3">
        <v>224.0</v>
      </c>
      <c r="I640" s="2" t="str">
        <f>IFERROR(__xludf.DUMMYFUNCTION("INDEX(SPLIT(A640, ""/""), 0, 2)"),"random")</f>
        <v>random</v>
      </c>
      <c r="J640" s="2" t="b">
        <f t="shared" si="1"/>
        <v>1</v>
      </c>
    </row>
    <row r="641">
      <c r="A641" s="1" t="s">
        <v>2809</v>
      </c>
      <c r="B641" s="3">
        <v>33000.0</v>
      </c>
      <c r="C641" s="3">
        <v>60.0</v>
      </c>
      <c r="D641" s="3" t="s">
        <v>28</v>
      </c>
      <c r="E641" s="3">
        <v>1366.0</v>
      </c>
      <c r="F641" s="3">
        <v>2005.0</v>
      </c>
      <c r="G641" s="3">
        <v>30.0</v>
      </c>
      <c r="H641" s="3">
        <v>10.0</v>
      </c>
      <c r="I641" s="2" t="str">
        <f>IFERROR(__xludf.DUMMYFUNCTION("INDEX(SPLIT(A641, ""/""), 0, 2)"),"random")</f>
        <v>random</v>
      </c>
      <c r="J641" s="2" t="b">
        <f t="shared" si="1"/>
        <v>1</v>
      </c>
    </row>
    <row r="642">
      <c r="A642" s="1" t="s">
        <v>2810</v>
      </c>
      <c r="B642" s="3">
        <v>4000.0</v>
      </c>
      <c r="C642" s="3">
        <v>60.0</v>
      </c>
      <c r="D642" s="3">
        <v>13146.0</v>
      </c>
      <c r="E642" s="3">
        <v>29.0</v>
      </c>
      <c r="F642" s="3">
        <v>52.0</v>
      </c>
      <c r="G642" s="3">
        <v>8.0</v>
      </c>
      <c r="H642" s="3">
        <v>2.0</v>
      </c>
      <c r="I642" s="2" t="str">
        <f>IFERROR(__xludf.DUMMYFUNCTION("INDEX(SPLIT(A642, ""/""), 0, 2)"),"random")</f>
        <v>random</v>
      </c>
      <c r="J642" s="2" t="b">
        <f t="shared" si="1"/>
        <v>1</v>
      </c>
    </row>
    <row r="643">
      <c r="A643" s="1" t="s">
        <v>2811</v>
      </c>
      <c r="B643" s="3">
        <v>13.0</v>
      </c>
      <c r="C643" s="3">
        <v>60.0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2" t="str">
        <f>IFERROR(__xludf.DUMMYFUNCTION("INDEX(SPLIT(A643, ""/""), 0, 2)"),"random")</f>
        <v>random</v>
      </c>
      <c r="J643" s="2" t="b">
        <f t="shared" si="1"/>
        <v>0</v>
      </c>
    </row>
    <row r="644">
      <c r="A644" s="1" t="s">
        <v>2812</v>
      </c>
      <c r="B644" s="3">
        <v>297.0</v>
      </c>
      <c r="C644" s="3">
        <v>60.0</v>
      </c>
      <c r="D644" s="3">
        <v>5.0</v>
      </c>
      <c r="E644" s="3">
        <v>0.0</v>
      </c>
      <c r="F644" s="3">
        <v>0.0</v>
      </c>
      <c r="G644" s="3">
        <v>0.0</v>
      </c>
      <c r="H644" s="3">
        <v>0.0</v>
      </c>
      <c r="I644" s="2" t="str">
        <f>IFERROR(__xludf.DUMMYFUNCTION("INDEX(SPLIT(A644, ""/""), 0, 2)"),"random")</f>
        <v>random</v>
      </c>
      <c r="J644" s="2" t="b">
        <f t="shared" si="1"/>
        <v>0</v>
      </c>
    </row>
    <row r="645">
      <c r="A645" s="1" t="s">
        <v>2813</v>
      </c>
      <c r="B645" s="3">
        <v>2009444.0</v>
      </c>
      <c r="C645" s="3">
        <v>60.0</v>
      </c>
      <c r="D645" s="3" t="s">
        <v>28</v>
      </c>
      <c r="E645" s="3" t="s">
        <v>28</v>
      </c>
      <c r="F645" s="3" t="s">
        <v>28</v>
      </c>
      <c r="G645" s="3">
        <v>668.0</v>
      </c>
      <c r="H645" s="3">
        <v>441.0</v>
      </c>
      <c r="I645" s="2" t="str">
        <f>IFERROR(__xludf.DUMMYFUNCTION("INDEX(SPLIT(A645, ""/""), 0, 2)"),"random")</f>
        <v>random</v>
      </c>
      <c r="J645" s="2" t="b">
        <f t="shared" si="1"/>
        <v>1</v>
      </c>
    </row>
    <row r="646">
      <c r="A646" s="1" t="s">
        <v>2814</v>
      </c>
      <c r="B646" s="3">
        <v>60.0</v>
      </c>
      <c r="C646" s="3">
        <v>60.0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2" t="str">
        <f>IFERROR(__xludf.DUMMYFUNCTION("INDEX(SPLIT(A646, ""/""), 0, 2)"),"random")</f>
        <v>random</v>
      </c>
      <c r="J646" s="2" t="b">
        <f t="shared" si="1"/>
        <v>0</v>
      </c>
    </row>
    <row r="647">
      <c r="A647" s="1" t="s">
        <v>2815</v>
      </c>
      <c r="B647" s="3">
        <v>39.0</v>
      </c>
      <c r="C647" s="3">
        <v>60.0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2" t="str">
        <f>IFERROR(__xludf.DUMMYFUNCTION("INDEX(SPLIT(A647, ""/""), 0, 2)"),"random")</f>
        <v>random</v>
      </c>
      <c r="J647" s="2" t="b">
        <f t="shared" si="1"/>
        <v>0</v>
      </c>
    </row>
    <row r="648">
      <c r="A648" s="1" t="s">
        <v>2816</v>
      </c>
      <c r="B648" s="3">
        <v>3010126.0</v>
      </c>
      <c r="C648" s="3">
        <v>60.0</v>
      </c>
      <c r="D648" s="3" t="s">
        <v>28</v>
      </c>
      <c r="E648" s="3" t="s">
        <v>28</v>
      </c>
      <c r="F648" s="3" t="s">
        <v>28</v>
      </c>
      <c r="G648" s="3">
        <v>902.0</v>
      </c>
      <c r="H648" s="3">
        <v>678.0</v>
      </c>
      <c r="I648" s="2" t="str">
        <f>IFERROR(__xludf.DUMMYFUNCTION("INDEX(SPLIT(A648, ""/""), 0, 2)"),"random")</f>
        <v>random</v>
      </c>
      <c r="J648" s="2" t="b">
        <f t="shared" si="1"/>
        <v>1</v>
      </c>
    </row>
    <row r="649">
      <c r="A649" s="1" t="s">
        <v>2817</v>
      </c>
      <c r="B649" s="3">
        <v>110.0</v>
      </c>
      <c r="C649" s="3">
        <v>60.0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2" t="str">
        <f>IFERROR(__xludf.DUMMYFUNCTION("INDEX(SPLIT(A649, ""/""), 0, 2)"),"random")</f>
        <v>random</v>
      </c>
      <c r="J649" s="2" t="b">
        <f t="shared" si="1"/>
        <v>0</v>
      </c>
    </row>
    <row r="650">
      <c r="A650" s="1" t="s">
        <v>2818</v>
      </c>
      <c r="B650" s="3">
        <v>219.0</v>
      </c>
      <c r="C650" s="3">
        <v>60.0</v>
      </c>
      <c r="D650" s="3">
        <v>1.0</v>
      </c>
      <c r="E650" s="3">
        <v>0.0</v>
      </c>
      <c r="F650" s="3">
        <v>0.0</v>
      </c>
      <c r="G650" s="3">
        <v>0.0</v>
      </c>
      <c r="H650" s="3">
        <v>0.0</v>
      </c>
      <c r="I650" s="2" t="str">
        <f>IFERROR(__xludf.DUMMYFUNCTION("INDEX(SPLIT(A650, ""/""), 0, 2)"),"random")</f>
        <v>random</v>
      </c>
      <c r="J650" s="2" t="b">
        <f t="shared" si="1"/>
        <v>0</v>
      </c>
    </row>
    <row r="651">
      <c r="A651" s="1" t="s">
        <v>2819</v>
      </c>
      <c r="B651" s="3">
        <v>90.0</v>
      </c>
      <c r="C651" s="3">
        <v>60.0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2" t="str">
        <f>IFERROR(__xludf.DUMMYFUNCTION("INDEX(SPLIT(A651, ""/""), 0, 2)"),"random")</f>
        <v>random</v>
      </c>
      <c r="J651" s="2" t="b">
        <f t="shared" si="1"/>
        <v>0</v>
      </c>
    </row>
    <row r="652">
      <c r="A652" s="1" t="s">
        <v>2820</v>
      </c>
      <c r="B652" s="3">
        <v>2936.0</v>
      </c>
      <c r="C652" s="3">
        <v>60.0</v>
      </c>
      <c r="D652" s="3">
        <v>1214.0</v>
      </c>
      <c r="E652" s="3">
        <v>10.0</v>
      </c>
      <c r="F652" s="3">
        <v>14.0</v>
      </c>
      <c r="G652" s="3">
        <v>2.0</v>
      </c>
      <c r="H652" s="3">
        <v>0.0</v>
      </c>
      <c r="I652" s="2" t="str">
        <f>IFERROR(__xludf.DUMMYFUNCTION("INDEX(SPLIT(A652, ""/""), 0, 2)"),"random")</f>
        <v>random</v>
      </c>
      <c r="J652" s="2" t="b">
        <f t="shared" si="1"/>
        <v>1</v>
      </c>
    </row>
    <row r="653">
      <c r="A653" s="1" t="s">
        <v>2821</v>
      </c>
      <c r="B653" s="3">
        <v>6000.0</v>
      </c>
      <c r="C653" s="3">
        <v>60.0</v>
      </c>
      <c r="D653" s="3">
        <v>1567.0</v>
      </c>
      <c r="E653" s="3">
        <v>6.0</v>
      </c>
      <c r="F653" s="3">
        <v>5.0</v>
      </c>
      <c r="G653" s="3">
        <v>36.0</v>
      </c>
      <c r="H653" s="3">
        <v>4.0</v>
      </c>
      <c r="I653" s="2" t="str">
        <f>IFERROR(__xludf.DUMMYFUNCTION("INDEX(SPLIT(A653, ""/""), 0, 2)"),"random")</f>
        <v>random</v>
      </c>
      <c r="J653" s="2" t="b">
        <f t="shared" si="1"/>
        <v>1</v>
      </c>
    </row>
    <row r="654">
      <c r="A654" s="1" t="s">
        <v>2822</v>
      </c>
      <c r="B654" s="3">
        <v>330.0</v>
      </c>
      <c r="C654" s="3">
        <v>60.0</v>
      </c>
      <c r="D654" s="3">
        <v>1.0</v>
      </c>
      <c r="E654" s="3">
        <v>0.0</v>
      </c>
      <c r="F654" s="3">
        <v>0.0</v>
      </c>
      <c r="G654" s="3">
        <v>0.0</v>
      </c>
      <c r="H654" s="3">
        <v>0.0</v>
      </c>
      <c r="I654" s="2" t="str">
        <f>IFERROR(__xludf.DUMMYFUNCTION("INDEX(SPLIT(A654, ""/""), 0, 2)"),"random")</f>
        <v>random</v>
      </c>
      <c r="J654" s="2" t="b">
        <f t="shared" si="1"/>
        <v>0</v>
      </c>
    </row>
    <row r="655">
      <c r="A655" s="1" t="s">
        <v>2823</v>
      </c>
      <c r="B655" s="3">
        <v>300000.0</v>
      </c>
      <c r="C655" s="3">
        <v>60.0</v>
      </c>
      <c r="D655" s="3" t="s">
        <v>28</v>
      </c>
      <c r="E655" s="3" t="s">
        <v>28</v>
      </c>
      <c r="F655" s="3" t="s">
        <v>28</v>
      </c>
      <c r="G655" s="3">
        <v>1175.0</v>
      </c>
      <c r="H655" s="3">
        <v>239.0</v>
      </c>
      <c r="I655" s="2" t="str">
        <f>IFERROR(__xludf.DUMMYFUNCTION("INDEX(SPLIT(A655, ""/""), 0, 2)"),"random")</f>
        <v>random</v>
      </c>
      <c r="J655" s="2" t="b">
        <f t="shared" si="1"/>
        <v>1</v>
      </c>
    </row>
    <row r="656">
      <c r="A656" s="1" t="s">
        <v>2824</v>
      </c>
      <c r="B656" s="3">
        <v>12.0</v>
      </c>
      <c r="C656" s="3">
        <v>60.0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2" t="str">
        <f>IFERROR(__xludf.DUMMYFUNCTION("INDEX(SPLIT(A656, ""/""), 0, 2)"),"random")</f>
        <v>random</v>
      </c>
      <c r="J656" s="2" t="b">
        <f t="shared" si="1"/>
        <v>0</v>
      </c>
    </row>
    <row r="657">
      <c r="A657" s="1" t="s">
        <v>2825</v>
      </c>
      <c r="B657" s="3">
        <v>30958.0</v>
      </c>
      <c r="C657" s="3">
        <v>60.0</v>
      </c>
      <c r="D657" s="3" t="s">
        <v>28</v>
      </c>
      <c r="E657" s="3">
        <v>437.0</v>
      </c>
      <c r="F657" s="3">
        <v>664.0</v>
      </c>
      <c r="G657" s="3">
        <v>14.0</v>
      </c>
      <c r="H657" s="3">
        <v>6.0</v>
      </c>
      <c r="I657" s="2" t="str">
        <f>IFERROR(__xludf.DUMMYFUNCTION("INDEX(SPLIT(A657, ""/""), 0, 2)"),"random")</f>
        <v>random</v>
      </c>
      <c r="J657" s="2" t="b">
        <f t="shared" si="1"/>
        <v>1</v>
      </c>
    </row>
    <row r="658">
      <c r="A658" s="1" t="s">
        <v>2826</v>
      </c>
      <c r="B658" s="3">
        <v>1200.0</v>
      </c>
      <c r="C658" s="3">
        <v>60.0</v>
      </c>
      <c r="D658" s="3">
        <v>332.0</v>
      </c>
      <c r="E658" s="3">
        <v>2.0</v>
      </c>
      <c r="F658" s="3">
        <v>4.0</v>
      </c>
      <c r="G658" s="3">
        <v>2.0</v>
      </c>
      <c r="H658" s="3">
        <v>0.0</v>
      </c>
      <c r="I658" s="2" t="str">
        <f>IFERROR(__xludf.DUMMYFUNCTION("INDEX(SPLIT(A658, ""/""), 0, 2)"),"random")</f>
        <v>random</v>
      </c>
      <c r="J658" s="2" t="b">
        <f t="shared" si="1"/>
        <v>1</v>
      </c>
    </row>
    <row r="659">
      <c r="A659" s="1" t="s">
        <v>2827</v>
      </c>
      <c r="B659" s="3">
        <v>600.0</v>
      </c>
      <c r="C659" s="3">
        <v>60.0</v>
      </c>
      <c r="D659" s="3">
        <v>14.0</v>
      </c>
      <c r="E659" s="3">
        <v>0.0</v>
      </c>
      <c r="F659" s="3">
        <v>0.0</v>
      </c>
      <c r="G659" s="3">
        <v>2.0</v>
      </c>
      <c r="H659" s="3">
        <v>0.0</v>
      </c>
      <c r="I659" s="2" t="str">
        <f>IFERROR(__xludf.DUMMYFUNCTION("INDEX(SPLIT(A659, ""/""), 0, 2)"),"random")</f>
        <v>random</v>
      </c>
      <c r="J659" s="2" t="b">
        <f t="shared" si="1"/>
        <v>1</v>
      </c>
    </row>
    <row r="660">
      <c r="A660" s="1" t="s">
        <v>2828</v>
      </c>
      <c r="B660" s="3">
        <v>11045.0</v>
      </c>
      <c r="C660" s="3">
        <v>60.0</v>
      </c>
      <c r="D660" s="3">
        <v>50080.0</v>
      </c>
      <c r="E660" s="3">
        <v>147.0</v>
      </c>
      <c r="F660" s="3">
        <v>194.0</v>
      </c>
      <c r="G660" s="3">
        <v>8.0</v>
      </c>
      <c r="H660" s="3">
        <v>2.0</v>
      </c>
      <c r="I660" s="2" t="str">
        <f>IFERROR(__xludf.DUMMYFUNCTION("INDEX(SPLIT(A660, ""/""), 0, 2)"),"random")</f>
        <v>random</v>
      </c>
      <c r="J660" s="2" t="b">
        <f t="shared" si="1"/>
        <v>1</v>
      </c>
    </row>
    <row r="661">
      <c r="A661" s="1" t="s">
        <v>2829</v>
      </c>
      <c r="B661" s="3">
        <v>183315.0</v>
      </c>
      <c r="C661" s="3">
        <v>60.0</v>
      </c>
      <c r="D661" s="3" t="s">
        <v>28</v>
      </c>
      <c r="E661" s="3">
        <v>8507.0</v>
      </c>
      <c r="F661" s="3">
        <v>18711.0</v>
      </c>
      <c r="G661" s="3">
        <v>70.0</v>
      </c>
      <c r="H661" s="3">
        <v>40.0</v>
      </c>
      <c r="I661" s="2" t="str">
        <f>IFERROR(__xludf.DUMMYFUNCTION("INDEX(SPLIT(A661, ""/""), 0, 2)"),"random")</f>
        <v>random</v>
      </c>
      <c r="J661" s="2" t="b">
        <f t="shared" si="1"/>
        <v>1</v>
      </c>
    </row>
    <row r="662">
      <c r="A662" s="1" t="s">
        <v>2830</v>
      </c>
      <c r="B662" s="3">
        <v>400.0</v>
      </c>
      <c r="C662" s="3">
        <v>60.0</v>
      </c>
      <c r="D662" s="3">
        <v>15.0</v>
      </c>
      <c r="E662" s="3">
        <v>0.0</v>
      </c>
      <c r="F662" s="3">
        <v>0.0</v>
      </c>
      <c r="G662" s="3">
        <v>0.0</v>
      </c>
      <c r="H662" s="3">
        <v>0.0</v>
      </c>
      <c r="I662" s="2" t="str">
        <f>IFERROR(__xludf.DUMMYFUNCTION("INDEX(SPLIT(A662, ""/""), 0, 2)"),"random")</f>
        <v>random</v>
      </c>
      <c r="J662" s="2" t="b">
        <f t="shared" si="1"/>
        <v>1</v>
      </c>
    </row>
    <row r="663">
      <c r="A663" s="1" t="s">
        <v>2831</v>
      </c>
      <c r="B663" s="3">
        <v>59.0</v>
      </c>
      <c r="C663" s="3">
        <v>60.0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2" t="str">
        <f>IFERROR(__xludf.DUMMYFUNCTION("INDEX(SPLIT(A663, ""/""), 0, 2)"),"random")</f>
        <v>random</v>
      </c>
      <c r="J663" s="2" t="b">
        <f t="shared" si="1"/>
        <v>0</v>
      </c>
    </row>
    <row r="664">
      <c r="A664" s="1" t="s">
        <v>2832</v>
      </c>
      <c r="B664" s="3">
        <v>30000.0</v>
      </c>
      <c r="C664" s="3">
        <v>60.0</v>
      </c>
      <c r="D664" s="3" t="s">
        <v>28</v>
      </c>
      <c r="E664" s="3">
        <v>1383.0</v>
      </c>
      <c r="F664" s="3">
        <v>2505.0</v>
      </c>
      <c r="G664" s="3">
        <v>84.0</v>
      </c>
      <c r="H664" s="3">
        <v>16.0</v>
      </c>
      <c r="I664" s="2" t="str">
        <f>IFERROR(__xludf.DUMMYFUNCTION("INDEX(SPLIT(A664, ""/""), 0, 2)"),"random")</f>
        <v>random</v>
      </c>
      <c r="J664" s="2" t="b">
        <f t="shared" si="1"/>
        <v>1</v>
      </c>
    </row>
    <row r="665">
      <c r="A665" s="1" t="s">
        <v>2833</v>
      </c>
      <c r="B665" s="3">
        <v>330000.0</v>
      </c>
      <c r="C665" s="3">
        <v>60.0</v>
      </c>
      <c r="D665" s="3" t="s">
        <v>28</v>
      </c>
      <c r="E665" s="3" t="s">
        <v>28</v>
      </c>
      <c r="F665" s="3" t="s">
        <v>28</v>
      </c>
      <c r="G665" s="3">
        <v>422.0</v>
      </c>
      <c r="H665" s="3">
        <v>136.0</v>
      </c>
      <c r="I665" s="2" t="str">
        <f>IFERROR(__xludf.DUMMYFUNCTION("INDEX(SPLIT(A665, ""/""), 0, 2)"),"random")</f>
        <v>random</v>
      </c>
      <c r="J665" s="2" t="b">
        <f t="shared" si="1"/>
        <v>1</v>
      </c>
    </row>
    <row r="666">
      <c r="A666" s="1" t="s">
        <v>2834</v>
      </c>
      <c r="B666" s="3">
        <v>1100.0</v>
      </c>
      <c r="C666" s="3">
        <v>60.0</v>
      </c>
      <c r="D666" s="3">
        <v>50.0</v>
      </c>
      <c r="E666" s="3">
        <v>1.0</v>
      </c>
      <c r="F666" s="3">
        <v>2.0</v>
      </c>
      <c r="G666" s="3">
        <v>0.0</v>
      </c>
      <c r="H666" s="3">
        <v>0.0</v>
      </c>
      <c r="I666" s="2" t="str">
        <f>IFERROR(__xludf.DUMMYFUNCTION("INDEX(SPLIT(A666, ""/""), 0, 2)"),"random")</f>
        <v>random</v>
      </c>
      <c r="J666" s="2" t="b">
        <f t="shared" si="1"/>
        <v>1</v>
      </c>
    </row>
    <row r="667">
      <c r="A667" s="1" t="s">
        <v>2835</v>
      </c>
      <c r="B667" s="3">
        <v>900.0</v>
      </c>
      <c r="C667" s="3">
        <v>60.0</v>
      </c>
      <c r="D667" s="3">
        <v>157.0</v>
      </c>
      <c r="E667" s="3">
        <v>1.0</v>
      </c>
      <c r="F667" s="3">
        <v>2.0</v>
      </c>
      <c r="G667" s="3">
        <v>2.0</v>
      </c>
      <c r="H667" s="3">
        <v>0.0</v>
      </c>
      <c r="I667" s="2" t="str">
        <f>IFERROR(__xludf.DUMMYFUNCTION("INDEX(SPLIT(A667, ""/""), 0, 2)"),"random")</f>
        <v>random</v>
      </c>
      <c r="J667" s="2" t="b">
        <f t="shared" si="1"/>
        <v>1</v>
      </c>
    </row>
    <row r="668">
      <c r="A668" s="1" t="s">
        <v>2836</v>
      </c>
      <c r="B668" s="3">
        <v>110000.0</v>
      </c>
      <c r="C668" s="3">
        <v>60.0</v>
      </c>
      <c r="D668" s="3" t="s">
        <v>28</v>
      </c>
      <c r="E668" s="3">
        <v>16142.0</v>
      </c>
      <c r="F668" s="3">
        <v>22937.0</v>
      </c>
      <c r="G668" s="3">
        <v>103.0</v>
      </c>
      <c r="H668" s="3">
        <v>36.0</v>
      </c>
      <c r="I668" s="2" t="str">
        <f>IFERROR(__xludf.DUMMYFUNCTION("INDEX(SPLIT(A668, ""/""), 0, 2)"),"random")</f>
        <v>random</v>
      </c>
      <c r="J668" s="2" t="b">
        <f t="shared" si="1"/>
        <v>1</v>
      </c>
    </row>
    <row r="669">
      <c r="A669" s="1" t="s">
        <v>2837</v>
      </c>
      <c r="B669" s="3">
        <v>92973.0</v>
      </c>
      <c r="C669" s="3">
        <v>60.0</v>
      </c>
      <c r="D669" s="3" t="s">
        <v>28</v>
      </c>
      <c r="E669" s="3">
        <v>4243.0</v>
      </c>
      <c r="F669" s="3">
        <v>6942.0</v>
      </c>
      <c r="G669" s="3">
        <v>43.0</v>
      </c>
      <c r="H669" s="3">
        <v>20.0</v>
      </c>
      <c r="I669" s="2" t="str">
        <f>IFERROR(__xludf.DUMMYFUNCTION("INDEX(SPLIT(A669, ""/""), 0, 2)"),"random")</f>
        <v>random</v>
      </c>
      <c r="J669" s="2" t="b">
        <f t="shared" si="1"/>
        <v>1</v>
      </c>
    </row>
    <row r="670">
      <c r="A670" s="1" t="s">
        <v>2838</v>
      </c>
      <c r="B670" s="3">
        <v>60000.0</v>
      </c>
      <c r="C670" s="3">
        <v>60.0</v>
      </c>
      <c r="D670" s="3" t="s">
        <v>28</v>
      </c>
      <c r="E670" s="3">
        <v>76.0</v>
      </c>
      <c r="F670" s="3">
        <v>68.0</v>
      </c>
      <c r="G670" s="3">
        <v>383.0</v>
      </c>
      <c r="H670" s="3">
        <v>51.0</v>
      </c>
      <c r="I670" s="2" t="str">
        <f>IFERROR(__xludf.DUMMYFUNCTION("INDEX(SPLIT(A670, ""/""), 0, 2)"),"random")</f>
        <v>random</v>
      </c>
      <c r="J670" s="2" t="b">
        <f t="shared" si="1"/>
        <v>1</v>
      </c>
    </row>
    <row r="671">
      <c r="A671" s="1" t="s">
        <v>2839</v>
      </c>
      <c r="B671" s="3">
        <v>900.0</v>
      </c>
      <c r="C671" s="3">
        <v>60.0</v>
      </c>
      <c r="D671" s="3">
        <v>161.0</v>
      </c>
      <c r="E671" s="3">
        <v>1.0</v>
      </c>
      <c r="F671" s="3">
        <v>2.0</v>
      </c>
      <c r="G671" s="3">
        <v>2.0</v>
      </c>
      <c r="H671" s="3">
        <v>0.0</v>
      </c>
      <c r="I671" s="2" t="str">
        <f>IFERROR(__xludf.DUMMYFUNCTION("INDEX(SPLIT(A671, ""/""), 0, 2)"),"random")</f>
        <v>random</v>
      </c>
      <c r="J671" s="2" t="b">
        <f t="shared" si="1"/>
        <v>1</v>
      </c>
    </row>
    <row r="672">
      <c r="A672" s="1" t="s">
        <v>2840</v>
      </c>
      <c r="B672" s="3">
        <v>60.0</v>
      </c>
      <c r="C672" s="3">
        <v>60.0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2" t="str">
        <f>IFERROR(__xludf.DUMMYFUNCTION("INDEX(SPLIT(A672, ""/""), 0, 2)"),"random")</f>
        <v>random</v>
      </c>
      <c r="J672" s="2" t="b">
        <f t="shared" si="1"/>
        <v>0</v>
      </c>
    </row>
    <row r="673">
      <c r="A673" s="1" t="s">
        <v>2841</v>
      </c>
      <c r="B673" s="3">
        <v>2013124.0</v>
      </c>
      <c r="C673" s="3">
        <v>60.0</v>
      </c>
      <c r="D673" s="3" t="s">
        <v>28</v>
      </c>
      <c r="E673" s="3" t="s">
        <v>28</v>
      </c>
      <c r="F673" s="3" t="s">
        <v>28</v>
      </c>
      <c r="G673" s="3">
        <v>636.0</v>
      </c>
      <c r="H673" s="3">
        <v>444.0</v>
      </c>
      <c r="I673" s="2" t="str">
        <f>IFERROR(__xludf.DUMMYFUNCTION("INDEX(SPLIT(A673, ""/""), 0, 2)"),"random")</f>
        <v>random</v>
      </c>
      <c r="J673" s="2" t="b">
        <f t="shared" si="1"/>
        <v>1</v>
      </c>
    </row>
    <row r="674">
      <c r="A674" s="1" t="s">
        <v>2842</v>
      </c>
      <c r="B674" s="3">
        <v>312.0</v>
      </c>
      <c r="C674" s="3">
        <v>60.0</v>
      </c>
      <c r="D674" s="3">
        <v>5.0</v>
      </c>
      <c r="E674" s="3">
        <v>0.0</v>
      </c>
      <c r="F674" s="3">
        <v>0.0</v>
      </c>
      <c r="G674" s="3">
        <v>0.0</v>
      </c>
      <c r="H674" s="3">
        <v>0.0</v>
      </c>
      <c r="I674" s="2" t="str">
        <f>IFERROR(__xludf.DUMMYFUNCTION("INDEX(SPLIT(A674, ""/""), 0, 2)"),"random")</f>
        <v>random</v>
      </c>
      <c r="J674" s="2" t="b">
        <f t="shared" si="1"/>
        <v>0</v>
      </c>
    </row>
    <row r="675">
      <c r="A675" s="1" t="s">
        <v>2843</v>
      </c>
      <c r="B675" s="3">
        <v>12000.0</v>
      </c>
      <c r="C675" s="3">
        <v>60.0</v>
      </c>
      <c r="D675" s="3" t="s">
        <v>28</v>
      </c>
      <c r="E675" s="3">
        <v>277.0</v>
      </c>
      <c r="F675" s="3">
        <v>483.0</v>
      </c>
      <c r="G675" s="3">
        <v>25.0</v>
      </c>
      <c r="H675" s="3">
        <v>5.0</v>
      </c>
      <c r="I675" s="2" t="str">
        <f>IFERROR(__xludf.DUMMYFUNCTION("INDEX(SPLIT(A675, ""/""), 0, 2)"),"random")</f>
        <v>random</v>
      </c>
      <c r="J675" s="2" t="b">
        <f t="shared" si="1"/>
        <v>1</v>
      </c>
    </row>
    <row r="676">
      <c r="A676" s="1" t="s">
        <v>2844</v>
      </c>
      <c r="B676" s="3">
        <v>400000.0</v>
      </c>
      <c r="C676" s="3">
        <v>60.0</v>
      </c>
      <c r="D676" s="3" t="s">
        <v>28</v>
      </c>
      <c r="E676" s="3" t="s">
        <v>28</v>
      </c>
      <c r="F676" s="3" t="s">
        <v>28</v>
      </c>
      <c r="G676" s="3">
        <v>1179.0</v>
      </c>
      <c r="H676" s="3">
        <v>255.0</v>
      </c>
      <c r="I676" s="2" t="str">
        <f>IFERROR(__xludf.DUMMYFUNCTION("INDEX(SPLIT(A676, ""/""), 0, 2)"),"random")</f>
        <v>random</v>
      </c>
      <c r="J676" s="2" t="b">
        <f t="shared" si="1"/>
        <v>1</v>
      </c>
    </row>
    <row r="677">
      <c r="A677" s="1" t="s">
        <v>2845</v>
      </c>
      <c r="B677" s="3">
        <v>9000.0</v>
      </c>
      <c r="C677" s="3">
        <v>60.0</v>
      </c>
      <c r="D677" s="3" t="s">
        <v>28</v>
      </c>
      <c r="E677" s="3">
        <v>125.0</v>
      </c>
      <c r="F677" s="3">
        <v>218.0</v>
      </c>
      <c r="G677" s="3">
        <v>52.0</v>
      </c>
      <c r="H677" s="3">
        <v>6.0</v>
      </c>
      <c r="I677" s="2" t="str">
        <f>IFERROR(__xludf.DUMMYFUNCTION("INDEX(SPLIT(A677, ""/""), 0, 2)"),"random")</f>
        <v>random</v>
      </c>
      <c r="J677" s="2" t="b">
        <f t="shared" si="1"/>
        <v>1</v>
      </c>
    </row>
    <row r="678">
      <c r="A678" s="1" t="s">
        <v>2846</v>
      </c>
      <c r="B678" s="3">
        <v>2000.0</v>
      </c>
      <c r="C678" s="3">
        <v>60.0</v>
      </c>
      <c r="D678" s="3">
        <v>166.0</v>
      </c>
      <c r="E678" s="3">
        <v>1.0</v>
      </c>
      <c r="F678" s="3">
        <v>1.0</v>
      </c>
      <c r="G678" s="3">
        <v>10.0</v>
      </c>
      <c r="H678" s="3">
        <v>1.0</v>
      </c>
      <c r="I678" s="2" t="str">
        <f>IFERROR(__xludf.DUMMYFUNCTION("INDEX(SPLIT(A678, ""/""), 0, 2)"),"random")</f>
        <v>random</v>
      </c>
      <c r="J678" s="2" t="b">
        <f t="shared" si="1"/>
        <v>1</v>
      </c>
    </row>
    <row r="679">
      <c r="A679" s="1" t="s">
        <v>2847</v>
      </c>
      <c r="B679" s="3">
        <v>15.0</v>
      </c>
      <c r="C679" s="3">
        <v>60.0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2" t="str">
        <f>IFERROR(__xludf.DUMMYFUNCTION("INDEX(SPLIT(A679, ""/""), 0, 2)"),"random")</f>
        <v>random</v>
      </c>
      <c r="J679" s="2" t="b">
        <f t="shared" si="1"/>
        <v>0</v>
      </c>
    </row>
    <row r="680">
      <c r="A680" s="1" t="s">
        <v>2848</v>
      </c>
      <c r="B680" s="3">
        <v>14.0</v>
      </c>
      <c r="C680" s="3">
        <v>60.0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2" t="str">
        <f>IFERROR(__xludf.DUMMYFUNCTION("INDEX(SPLIT(A680, ""/""), 0, 2)"),"random")</f>
        <v>random</v>
      </c>
      <c r="J680" s="2" t="b">
        <f t="shared" si="1"/>
        <v>0</v>
      </c>
    </row>
    <row r="681">
      <c r="A681" s="1" t="s">
        <v>2849</v>
      </c>
      <c r="B681" s="3">
        <v>11.0</v>
      </c>
      <c r="C681" s="3">
        <v>60.0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2" t="str">
        <f>IFERROR(__xludf.DUMMYFUNCTION("INDEX(SPLIT(A681, ""/""), 0, 2)"),"random")</f>
        <v>random</v>
      </c>
      <c r="J681" s="2" t="b">
        <f t="shared" si="1"/>
        <v>0</v>
      </c>
    </row>
    <row r="682">
      <c r="A682" s="1" t="s">
        <v>2850</v>
      </c>
      <c r="B682" s="3">
        <v>4000.0</v>
      </c>
      <c r="C682" s="3">
        <v>60.0</v>
      </c>
      <c r="D682" s="3">
        <v>13379.0</v>
      </c>
      <c r="E682" s="3">
        <v>29.0</v>
      </c>
      <c r="F682" s="3">
        <v>52.0</v>
      </c>
      <c r="G682" s="3">
        <v>8.0</v>
      </c>
      <c r="H682" s="3">
        <v>1.0</v>
      </c>
      <c r="I682" s="2" t="str">
        <f>IFERROR(__xludf.DUMMYFUNCTION("INDEX(SPLIT(A682, ""/""), 0, 2)"),"random")</f>
        <v>random</v>
      </c>
      <c r="J682" s="2" t="b">
        <f t="shared" si="1"/>
        <v>1</v>
      </c>
    </row>
    <row r="683">
      <c r="A683" s="1" t="s">
        <v>2851</v>
      </c>
      <c r="B683" s="3">
        <v>33000.0</v>
      </c>
      <c r="C683" s="3">
        <v>60.0</v>
      </c>
      <c r="D683" s="3" t="s">
        <v>28</v>
      </c>
      <c r="E683" s="3">
        <v>1360.0</v>
      </c>
      <c r="F683" s="3">
        <v>1988.0</v>
      </c>
      <c r="G683" s="3">
        <v>32.0</v>
      </c>
      <c r="H683" s="3">
        <v>11.0</v>
      </c>
      <c r="I683" s="2" t="str">
        <f>IFERROR(__xludf.DUMMYFUNCTION("INDEX(SPLIT(A683, ""/""), 0, 2)"),"random")</f>
        <v>random</v>
      </c>
      <c r="J683" s="2" t="b">
        <f t="shared" si="1"/>
        <v>1</v>
      </c>
    </row>
    <row r="684">
      <c r="A684" s="1" t="s">
        <v>2852</v>
      </c>
      <c r="B684" s="3">
        <v>6000.0</v>
      </c>
      <c r="C684" s="3">
        <v>60.0</v>
      </c>
      <c r="D684" s="3">
        <v>1544.0</v>
      </c>
      <c r="E684" s="3">
        <v>6.0</v>
      </c>
      <c r="F684" s="3">
        <v>5.0</v>
      </c>
      <c r="G684" s="3">
        <v>32.0</v>
      </c>
      <c r="H684" s="3">
        <v>4.0</v>
      </c>
      <c r="I684" s="2" t="str">
        <f>IFERROR(__xludf.DUMMYFUNCTION("INDEX(SPLIT(A684, ""/""), 0, 2)"),"random")</f>
        <v>random</v>
      </c>
      <c r="J684" s="2" t="b">
        <f t="shared" si="1"/>
        <v>1</v>
      </c>
    </row>
    <row r="685">
      <c r="A685" s="1" t="s">
        <v>2853</v>
      </c>
      <c r="B685" s="3">
        <v>10.0</v>
      </c>
      <c r="C685" s="3">
        <v>60.0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2" t="str">
        <f>IFERROR(__xludf.DUMMYFUNCTION("INDEX(SPLIT(A685, ""/""), 0, 2)"),"random")</f>
        <v>random</v>
      </c>
      <c r="J685" s="2" t="b">
        <f t="shared" si="1"/>
        <v>0</v>
      </c>
    </row>
    <row r="686">
      <c r="A686" s="1" t="s">
        <v>2854</v>
      </c>
      <c r="B686" s="3">
        <v>300000.0</v>
      </c>
      <c r="C686" s="3">
        <v>60.0</v>
      </c>
      <c r="D686" s="3" t="s">
        <v>28</v>
      </c>
      <c r="E686" s="3" t="s">
        <v>28</v>
      </c>
      <c r="F686" s="3" t="s">
        <v>28</v>
      </c>
      <c r="G686" s="3">
        <v>1134.0</v>
      </c>
      <c r="H686" s="3">
        <v>217.0</v>
      </c>
      <c r="I686" s="2" t="str">
        <f>IFERROR(__xludf.DUMMYFUNCTION("INDEX(SPLIT(A686, ""/""), 0, 2)"),"random")</f>
        <v>random</v>
      </c>
      <c r="J686" s="2" t="b">
        <f t="shared" si="1"/>
        <v>1</v>
      </c>
    </row>
    <row r="687">
      <c r="A687" s="1" t="s">
        <v>2855</v>
      </c>
      <c r="B687" s="3">
        <v>3012356.0</v>
      </c>
      <c r="C687" s="3">
        <v>60.0</v>
      </c>
      <c r="D687" s="3" t="s">
        <v>28</v>
      </c>
      <c r="E687" s="3" t="s">
        <v>28</v>
      </c>
      <c r="F687" s="3" t="s">
        <v>28</v>
      </c>
      <c r="G687" s="3">
        <v>930.0</v>
      </c>
      <c r="H687" s="3">
        <v>648.0</v>
      </c>
      <c r="I687" s="2" t="str">
        <f>IFERROR(__xludf.DUMMYFUNCTION("INDEX(SPLIT(A687, ""/""), 0, 2)"),"random")</f>
        <v>random</v>
      </c>
      <c r="J687" s="2" t="b">
        <f t="shared" si="1"/>
        <v>1</v>
      </c>
    </row>
    <row r="688">
      <c r="A688" s="1" t="s">
        <v>2856</v>
      </c>
      <c r="B688" s="3">
        <v>90.0</v>
      </c>
      <c r="C688" s="3">
        <v>60.0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2" t="str">
        <f>IFERROR(__xludf.DUMMYFUNCTION("INDEX(SPLIT(A688, ""/""), 0, 2)"),"random")</f>
        <v>random</v>
      </c>
      <c r="J688" s="2" t="b">
        <f t="shared" si="1"/>
        <v>0</v>
      </c>
    </row>
    <row r="689">
      <c r="A689" s="1" t="s">
        <v>2857</v>
      </c>
      <c r="B689" s="3">
        <v>219.0</v>
      </c>
      <c r="C689" s="3">
        <v>60.0</v>
      </c>
      <c r="D689" s="3">
        <v>1.0</v>
      </c>
      <c r="E689" s="3">
        <v>0.0</v>
      </c>
      <c r="F689" s="3">
        <v>0.0</v>
      </c>
      <c r="G689" s="3">
        <v>0.0</v>
      </c>
      <c r="H689" s="3">
        <v>0.0</v>
      </c>
      <c r="I689" s="2" t="str">
        <f>IFERROR(__xludf.DUMMYFUNCTION("INDEX(SPLIT(A689, ""/""), 0, 2)"),"random")</f>
        <v>random</v>
      </c>
      <c r="J689" s="2" t="b">
        <f t="shared" si="1"/>
        <v>0</v>
      </c>
    </row>
    <row r="690">
      <c r="A690" s="1" t="s">
        <v>2858</v>
      </c>
      <c r="B690" s="3">
        <v>110.0</v>
      </c>
      <c r="C690" s="3">
        <v>60.0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2" t="str">
        <f>IFERROR(__xludf.DUMMYFUNCTION("INDEX(SPLIT(A690, ""/""), 0, 2)"),"random")</f>
        <v>random</v>
      </c>
      <c r="J690" s="2" t="b">
        <f t="shared" si="1"/>
        <v>0</v>
      </c>
    </row>
    <row r="691">
      <c r="A691" s="1" t="s">
        <v>2859</v>
      </c>
      <c r="B691" s="3">
        <v>2153.0</v>
      </c>
      <c r="C691" s="3">
        <v>60.0</v>
      </c>
      <c r="D691" s="3">
        <v>836.0</v>
      </c>
      <c r="E691" s="3">
        <v>7.0</v>
      </c>
      <c r="F691" s="3">
        <v>11.0</v>
      </c>
      <c r="G691" s="3">
        <v>2.0</v>
      </c>
      <c r="H691" s="3">
        <v>0.0</v>
      </c>
      <c r="I691" s="2" t="str">
        <f>IFERROR(__xludf.DUMMYFUNCTION("INDEX(SPLIT(A691, ""/""), 0, 2)"),"random")</f>
        <v>random</v>
      </c>
      <c r="J691" s="2" t="b">
        <f t="shared" si="1"/>
        <v>1</v>
      </c>
    </row>
    <row r="692">
      <c r="A692" s="1" t="s">
        <v>2860</v>
      </c>
      <c r="B692" s="3">
        <v>400.0</v>
      </c>
      <c r="C692" s="3">
        <v>60.0</v>
      </c>
      <c r="D692" s="3">
        <v>14.0</v>
      </c>
      <c r="E692" s="3">
        <v>0.0</v>
      </c>
      <c r="F692" s="3">
        <v>0.0</v>
      </c>
      <c r="G692" s="3">
        <v>0.0</v>
      </c>
      <c r="H692" s="3">
        <v>0.0</v>
      </c>
      <c r="I692" s="2" t="str">
        <f>IFERROR(__xludf.DUMMYFUNCTION("INDEX(SPLIT(A692, ""/""), 0, 2)"),"random")</f>
        <v>random</v>
      </c>
      <c r="J692" s="2" t="b">
        <f t="shared" si="1"/>
        <v>1</v>
      </c>
    </row>
    <row r="693">
      <c r="A693" s="1" t="s">
        <v>2861</v>
      </c>
      <c r="B693" s="3">
        <v>57.0</v>
      </c>
      <c r="C693" s="3">
        <v>60.0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2" t="str">
        <f>IFERROR(__xludf.DUMMYFUNCTION("INDEX(SPLIT(A693, ""/""), 0, 2)"),"random")</f>
        <v>random</v>
      </c>
      <c r="J693" s="2" t="b">
        <f t="shared" si="1"/>
        <v>0</v>
      </c>
    </row>
    <row r="694">
      <c r="A694" s="1" t="s">
        <v>2862</v>
      </c>
      <c r="B694" s="3">
        <v>30000.0</v>
      </c>
      <c r="C694" s="3">
        <v>60.0</v>
      </c>
      <c r="D694" s="3" t="s">
        <v>28</v>
      </c>
      <c r="E694" s="3">
        <v>1425.0</v>
      </c>
      <c r="F694" s="3">
        <v>2481.0</v>
      </c>
      <c r="G694" s="3">
        <v>82.0</v>
      </c>
      <c r="H694" s="3">
        <v>16.0</v>
      </c>
      <c r="I694" s="2" t="str">
        <f>IFERROR(__xludf.DUMMYFUNCTION("INDEX(SPLIT(A694, ""/""), 0, 2)"),"random")</f>
        <v>random</v>
      </c>
      <c r="J694" s="2" t="b">
        <f t="shared" si="1"/>
        <v>1</v>
      </c>
    </row>
    <row r="695">
      <c r="A695" s="1" t="s">
        <v>2863</v>
      </c>
      <c r="B695" s="3">
        <v>1200.0</v>
      </c>
      <c r="C695" s="3">
        <v>60.0</v>
      </c>
      <c r="D695" s="3">
        <v>316.0</v>
      </c>
      <c r="E695" s="3">
        <v>2.0</v>
      </c>
      <c r="F695" s="3">
        <v>5.0</v>
      </c>
      <c r="G695" s="3">
        <v>2.0</v>
      </c>
      <c r="H695" s="3">
        <v>0.0</v>
      </c>
      <c r="I695" s="2" t="str">
        <f>IFERROR(__xludf.DUMMYFUNCTION("INDEX(SPLIT(A695, ""/""), 0, 2)"),"random")</f>
        <v>random</v>
      </c>
      <c r="J695" s="2" t="b">
        <f t="shared" si="1"/>
        <v>1</v>
      </c>
    </row>
    <row r="696">
      <c r="A696" s="1" t="s">
        <v>2864</v>
      </c>
      <c r="B696" s="3">
        <v>31177.0</v>
      </c>
      <c r="C696" s="3">
        <v>60.0</v>
      </c>
      <c r="D696" s="3" t="s">
        <v>28</v>
      </c>
      <c r="E696" s="3">
        <v>451.0</v>
      </c>
      <c r="F696" s="3">
        <v>682.0</v>
      </c>
      <c r="G696" s="3">
        <v>14.0</v>
      </c>
      <c r="H696" s="3">
        <v>6.0</v>
      </c>
      <c r="I696" s="2" t="str">
        <f>IFERROR(__xludf.DUMMYFUNCTION("INDEX(SPLIT(A696, ""/""), 0, 2)"),"random")</f>
        <v>random</v>
      </c>
      <c r="J696" s="2" t="b">
        <f t="shared" si="1"/>
        <v>1</v>
      </c>
    </row>
    <row r="697">
      <c r="A697" s="1" t="s">
        <v>2865</v>
      </c>
      <c r="B697" s="3">
        <v>40.0</v>
      </c>
      <c r="C697" s="3">
        <v>60.0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2" t="str">
        <f>IFERROR(__xludf.DUMMYFUNCTION("INDEX(SPLIT(A697, ""/""), 0, 2)"),"random")</f>
        <v>random</v>
      </c>
      <c r="J697" s="2" t="b">
        <f t="shared" si="1"/>
        <v>0</v>
      </c>
    </row>
    <row r="698">
      <c r="A698" s="1" t="s">
        <v>2866</v>
      </c>
      <c r="B698" s="3">
        <v>183252.0</v>
      </c>
      <c r="C698" s="3">
        <v>60.0</v>
      </c>
      <c r="D698" s="3" t="s">
        <v>28</v>
      </c>
      <c r="E698" s="3">
        <v>8465.0</v>
      </c>
      <c r="F698" s="3">
        <v>18650.0</v>
      </c>
      <c r="G698" s="3">
        <v>70.0</v>
      </c>
      <c r="H698" s="3">
        <v>40.0</v>
      </c>
      <c r="I698" s="2" t="str">
        <f>IFERROR(__xludf.DUMMYFUNCTION("INDEX(SPLIT(A698, ""/""), 0, 2)"),"random")</f>
        <v>random</v>
      </c>
      <c r="J698" s="2" t="b">
        <f t="shared" si="1"/>
        <v>1</v>
      </c>
    </row>
    <row r="699">
      <c r="A699" s="1" t="s">
        <v>2867</v>
      </c>
      <c r="B699" s="3">
        <v>90000.0</v>
      </c>
      <c r="C699" s="3">
        <v>60.0</v>
      </c>
      <c r="D699" s="3" t="s">
        <v>28</v>
      </c>
      <c r="E699" s="3">
        <v>13772.0</v>
      </c>
      <c r="F699" s="3">
        <v>24863.0</v>
      </c>
      <c r="G699" s="3">
        <v>268.0</v>
      </c>
      <c r="H699" s="3">
        <v>50.0</v>
      </c>
      <c r="I699" s="2" t="str">
        <f>IFERROR(__xludf.DUMMYFUNCTION("INDEX(SPLIT(A699, ""/""), 0, 2)"),"random")</f>
        <v>random</v>
      </c>
      <c r="J699" s="2" t="b">
        <f t="shared" si="1"/>
        <v>1</v>
      </c>
    </row>
    <row r="700">
      <c r="A700" s="1" t="s">
        <v>2868</v>
      </c>
      <c r="B700" s="3">
        <v>10924.0</v>
      </c>
      <c r="C700" s="3">
        <v>60.0</v>
      </c>
      <c r="D700" s="3" t="s">
        <v>28</v>
      </c>
      <c r="E700" s="3">
        <v>146.0</v>
      </c>
      <c r="F700" s="3">
        <v>199.0</v>
      </c>
      <c r="G700" s="3">
        <v>10.0</v>
      </c>
      <c r="H700" s="3">
        <v>2.0</v>
      </c>
      <c r="I700" s="2" t="str">
        <f>IFERROR(__xludf.DUMMYFUNCTION("INDEX(SPLIT(A700, ""/""), 0, 2)"),"random")</f>
        <v>random</v>
      </c>
      <c r="J700" s="2" t="b">
        <f t="shared" si="1"/>
        <v>1</v>
      </c>
    </row>
    <row r="701">
      <c r="A701" s="1" t="s">
        <v>2869</v>
      </c>
      <c r="B701" s="3">
        <v>600.0</v>
      </c>
      <c r="C701" s="3">
        <v>60.0</v>
      </c>
      <c r="D701" s="3">
        <v>15.0</v>
      </c>
      <c r="E701" s="3">
        <v>0.0</v>
      </c>
      <c r="F701" s="3">
        <v>0.0</v>
      </c>
      <c r="G701" s="3">
        <v>3.0</v>
      </c>
      <c r="H701" s="3">
        <v>0.0</v>
      </c>
      <c r="I701" s="2" t="str">
        <f>IFERROR(__xludf.DUMMYFUNCTION("INDEX(SPLIT(A701, ""/""), 0, 2)"),"random")</f>
        <v>random</v>
      </c>
      <c r="J701" s="2" t="b">
        <f t="shared" si="1"/>
        <v>1</v>
      </c>
    </row>
    <row r="702">
      <c r="A702" s="1" t="s">
        <v>2870</v>
      </c>
      <c r="B702" s="3">
        <v>1100.0</v>
      </c>
      <c r="C702" s="3">
        <v>60.0</v>
      </c>
      <c r="D702" s="3">
        <v>56.0</v>
      </c>
      <c r="E702" s="3">
        <v>1.0</v>
      </c>
      <c r="F702" s="3">
        <v>2.0</v>
      </c>
      <c r="G702" s="3">
        <v>1.0</v>
      </c>
      <c r="H702" s="3">
        <v>0.0</v>
      </c>
      <c r="I702" s="2" t="str">
        <f>IFERROR(__xludf.DUMMYFUNCTION("INDEX(SPLIT(A702, ""/""), 0, 2)"),"random")</f>
        <v>random</v>
      </c>
      <c r="J702" s="2" t="b">
        <f t="shared" si="1"/>
        <v>1</v>
      </c>
    </row>
    <row r="703">
      <c r="A703" s="1" t="s">
        <v>2871</v>
      </c>
      <c r="B703" s="3">
        <v>330000.0</v>
      </c>
      <c r="C703" s="3">
        <v>60.0</v>
      </c>
      <c r="D703" s="3" t="s">
        <v>28</v>
      </c>
      <c r="E703" s="3" t="s">
        <v>28</v>
      </c>
      <c r="F703" s="3" t="s">
        <v>28</v>
      </c>
      <c r="G703" s="3">
        <v>391.0</v>
      </c>
      <c r="H703" s="3">
        <v>128.0</v>
      </c>
      <c r="I703" s="2" t="str">
        <f>IFERROR(__xludf.DUMMYFUNCTION("INDEX(SPLIT(A703, ""/""), 0, 2)"),"random")</f>
        <v>random</v>
      </c>
      <c r="J703" s="2" t="b">
        <f t="shared" si="1"/>
        <v>1</v>
      </c>
    </row>
    <row r="704">
      <c r="A704" s="1" t="s">
        <v>2872</v>
      </c>
      <c r="B704" s="3">
        <v>92732.0</v>
      </c>
      <c r="C704" s="3">
        <v>60.0</v>
      </c>
      <c r="D704" s="3" t="s">
        <v>28</v>
      </c>
      <c r="E704" s="3">
        <v>4187.0</v>
      </c>
      <c r="F704" s="3">
        <v>6749.0</v>
      </c>
      <c r="G704" s="3">
        <v>43.0</v>
      </c>
      <c r="H704" s="3">
        <v>20.0</v>
      </c>
      <c r="I704" s="2" t="str">
        <f>IFERROR(__xludf.DUMMYFUNCTION("INDEX(SPLIT(A704, ""/""), 0, 2)"),"random")</f>
        <v>random</v>
      </c>
      <c r="J704" s="2" t="b">
        <f t="shared" si="1"/>
        <v>1</v>
      </c>
    </row>
    <row r="705">
      <c r="A705" s="1" t="s">
        <v>2873</v>
      </c>
      <c r="B705" s="3">
        <v>60000.0</v>
      </c>
      <c r="C705" s="3">
        <v>60.0</v>
      </c>
      <c r="D705" s="3" t="s">
        <v>28</v>
      </c>
      <c r="E705" s="3">
        <v>74.0</v>
      </c>
      <c r="F705" s="3">
        <v>69.0</v>
      </c>
      <c r="G705" s="3">
        <v>391.0</v>
      </c>
      <c r="H705" s="3">
        <v>51.0</v>
      </c>
      <c r="I705" s="2" t="str">
        <f>IFERROR(__xludf.DUMMYFUNCTION("INDEX(SPLIT(A705, ""/""), 0, 2)"),"random")</f>
        <v>random</v>
      </c>
      <c r="J705" s="2" t="b">
        <f t="shared" si="1"/>
        <v>1</v>
      </c>
    </row>
    <row r="706">
      <c r="A706" s="1" t="s">
        <v>2874</v>
      </c>
      <c r="B706" s="3">
        <v>900.0</v>
      </c>
      <c r="C706" s="3">
        <v>60.0</v>
      </c>
      <c r="D706" s="3">
        <v>153.0</v>
      </c>
      <c r="E706" s="3">
        <v>1.0</v>
      </c>
      <c r="F706" s="3">
        <v>2.0</v>
      </c>
      <c r="G706" s="3">
        <v>2.0</v>
      </c>
      <c r="H706" s="3">
        <v>0.0</v>
      </c>
      <c r="I706" s="2" t="str">
        <f>IFERROR(__xludf.DUMMYFUNCTION("INDEX(SPLIT(A706, ""/""), 0, 2)"),"random")</f>
        <v>random</v>
      </c>
      <c r="J706" s="2" t="b">
        <f t="shared" si="1"/>
        <v>1</v>
      </c>
    </row>
    <row r="707">
      <c r="A707" s="1" t="s">
        <v>2875</v>
      </c>
      <c r="B707" s="3">
        <v>20000.0</v>
      </c>
      <c r="C707" s="3">
        <v>60.0</v>
      </c>
      <c r="D707" s="3">
        <v>17893.0</v>
      </c>
      <c r="E707" s="3">
        <v>21.0</v>
      </c>
      <c r="F707" s="3">
        <v>20.0</v>
      </c>
      <c r="G707" s="3">
        <v>117.0</v>
      </c>
      <c r="H707" s="3">
        <v>15.0</v>
      </c>
      <c r="I707" s="2" t="str">
        <f>IFERROR(__xludf.DUMMYFUNCTION("INDEX(SPLIT(A707, ""/""), 0, 2)"),"random")</f>
        <v>random</v>
      </c>
      <c r="J707" s="2" t="b">
        <f t="shared" si="1"/>
        <v>1</v>
      </c>
    </row>
    <row r="708">
      <c r="A708" s="1" t="s">
        <v>2876</v>
      </c>
      <c r="B708" s="3">
        <v>3068.0</v>
      </c>
      <c r="C708" s="3">
        <v>60.0</v>
      </c>
      <c r="D708" s="3">
        <v>1180.0</v>
      </c>
      <c r="E708" s="3">
        <v>11.0</v>
      </c>
      <c r="F708" s="3">
        <v>15.0</v>
      </c>
      <c r="G708" s="3">
        <v>2.0</v>
      </c>
      <c r="H708" s="3">
        <v>0.0</v>
      </c>
      <c r="I708" s="2" t="str">
        <f>IFERROR(__xludf.DUMMYFUNCTION("INDEX(SPLIT(A708, ""/""), 0, 2)"),"random")</f>
        <v>random</v>
      </c>
      <c r="J708" s="2" t="b">
        <f t="shared" si="1"/>
        <v>1</v>
      </c>
    </row>
    <row r="709">
      <c r="A709" s="1" t="s">
        <v>2877</v>
      </c>
      <c r="B709" s="3">
        <v>3000.0</v>
      </c>
      <c r="C709" s="3">
        <v>60.0</v>
      </c>
      <c r="D709" s="3">
        <v>4732.0</v>
      </c>
      <c r="E709" s="3">
        <v>12.0</v>
      </c>
      <c r="F709" s="3">
        <v>24.0</v>
      </c>
      <c r="G709" s="3">
        <v>15.0</v>
      </c>
      <c r="H709" s="3">
        <v>2.0</v>
      </c>
      <c r="I709" s="2" t="str">
        <f>IFERROR(__xludf.DUMMYFUNCTION("INDEX(SPLIT(A709, ""/""), 0, 2)"),"random")</f>
        <v>random</v>
      </c>
      <c r="J709" s="2" t="b">
        <f t="shared" si="1"/>
        <v>1</v>
      </c>
    </row>
    <row r="710">
      <c r="A710" s="1" t="s">
        <v>2878</v>
      </c>
      <c r="B710" s="3">
        <v>330.0</v>
      </c>
      <c r="C710" s="3">
        <v>60.0</v>
      </c>
      <c r="D710" s="3">
        <v>1.0</v>
      </c>
      <c r="E710" s="3">
        <v>0.0</v>
      </c>
      <c r="F710" s="3">
        <v>0.0</v>
      </c>
      <c r="G710" s="3">
        <v>0.0</v>
      </c>
      <c r="H710" s="3">
        <v>0.0</v>
      </c>
      <c r="I710" s="2" t="str">
        <f>IFERROR(__xludf.DUMMYFUNCTION("INDEX(SPLIT(A710, ""/""), 0, 2)"),"random")</f>
        <v>random</v>
      </c>
      <c r="J710" s="2" t="b">
        <f t="shared" si="1"/>
        <v>0</v>
      </c>
    </row>
    <row r="711">
      <c r="A711" s="1" t="s">
        <v>2879</v>
      </c>
      <c r="B711" s="3">
        <v>1172.0</v>
      </c>
      <c r="C711" s="3">
        <v>60.0</v>
      </c>
      <c r="D711" s="3">
        <v>253.0</v>
      </c>
      <c r="E711" s="3">
        <v>2.0</v>
      </c>
      <c r="F711" s="3">
        <v>4.0</v>
      </c>
      <c r="G711" s="3">
        <v>2.0</v>
      </c>
      <c r="H711" s="3">
        <v>0.0</v>
      </c>
      <c r="I711" s="2" t="str">
        <f>IFERROR(__xludf.DUMMYFUNCTION("INDEX(SPLIT(A711, ""/""), 0, 2)"),"random")</f>
        <v>random</v>
      </c>
      <c r="J711" s="2" t="b">
        <f t="shared" si="1"/>
        <v>1</v>
      </c>
    </row>
    <row r="712">
      <c r="A712" s="1" t="s">
        <v>2880</v>
      </c>
      <c r="B712" s="3">
        <v>12000.0</v>
      </c>
      <c r="C712" s="3">
        <v>60.0</v>
      </c>
      <c r="D712" s="3" t="s">
        <v>28</v>
      </c>
      <c r="E712" s="3">
        <v>287.0</v>
      </c>
      <c r="F712" s="3">
        <v>512.0</v>
      </c>
      <c r="G712" s="3">
        <v>24.0</v>
      </c>
      <c r="H712" s="3">
        <v>5.0</v>
      </c>
      <c r="I712" s="2" t="str">
        <f>IFERROR(__xludf.DUMMYFUNCTION("INDEX(SPLIT(A712, ""/""), 0, 2)"),"random")</f>
        <v>random</v>
      </c>
      <c r="J712" s="2" t="b">
        <f t="shared" si="1"/>
        <v>1</v>
      </c>
    </row>
    <row r="713">
      <c r="A713" s="1" t="s">
        <v>2881</v>
      </c>
      <c r="B713" s="3">
        <v>300000.0</v>
      </c>
      <c r="C713" s="3">
        <v>60.0</v>
      </c>
      <c r="D713" s="3" t="s">
        <v>28</v>
      </c>
      <c r="E713" s="3" t="s">
        <v>28</v>
      </c>
      <c r="F713" s="3" t="s">
        <v>28</v>
      </c>
      <c r="G713" s="3">
        <v>1097.0</v>
      </c>
      <c r="H713" s="3">
        <v>201.0</v>
      </c>
      <c r="I713" s="2" t="str">
        <f>IFERROR(__xludf.DUMMYFUNCTION("INDEX(SPLIT(A713, ""/""), 0, 2)"),"random")</f>
        <v>random</v>
      </c>
      <c r="J713" s="2" t="b">
        <f t="shared" si="1"/>
        <v>1</v>
      </c>
    </row>
    <row r="714">
      <c r="A714" s="1" t="s">
        <v>2882</v>
      </c>
      <c r="B714" s="3">
        <v>372.0</v>
      </c>
      <c r="C714" s="3">
        <v>60.0</v>
      </c>
      <c r="D714" s="3">
        <v>11.0</v>
      </c>
      <c r="E714" s="3">
        <v>0.0</v>
      </c>
      <c r="F714" s="3">
        <v>0.0</v>
      </c>
      <c r="G714" s="3">
        <v>0.0</v>
      </c>
      <c r="H714" s="3">
        <v>0.0</v>
      </c>
      <c r="I714" s="2" t="str">
        <f>IFERROR(__xludf.DUMMYFUNCTION("INDEX(SPLIT(A714, ""/""), 0, 2)"),"random")</f>
        <v>random</v>
      </c>
      <c r="J714" s="2" t="b">
        <f t="shared" si="1"/>
        <v>1</v>
      </c>
    </row>
    <row r="715">
      <c r="A715" s="1" t="s">
        <v>2883</v>
      </c>
      <c r="B715" s="3">
        <v>1010031.0</v>
      </c>
      <c r="C715" s="3">
        <v>60.0</v>
      </c>
      <c r="D715" s="3" t="s">
        <v>28</v>
      </c>
      <c r="E715" s="3" t="s">
        <v>28</v>
      </c>
      <c r="F715" s="3" t="s">
        <v>28</v>
      </c>
      <c r="G715" s="3">
        <v>363.0</v>
      </c>
      <c r="H715" s="3">
        <v>223.0</v>
      </c>
      <c r="I715" s="2" t="str">
        <f>IFERROR(__xludf.DUMMYFUNCTION("INDEX(SPLIT(A715, ""/""), 0, 2)"),"random")</f>
        <v>random</v>
      </c>
      <c r="J715" s="2" t="b">
        <f t="shared" si="1"/>
        <v>1</v>
      </c>
    </row>
    <row r="716">
      <c r="A716" s="1" t="s">
        <v>2884</v>
      </c>
      <c r="B716" s="3">
        <v>120.0</v>
      </c>
      <c r="C716" s="3">
        <v>60.0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2" t="str">
        <f>IFERROR(__xludf.DUMMYFUNCTION("INDEX(SPLIT(A716, ""/""), 0, 2)"),"random")</f>
        <v>random</v>
      </c>
      <c r="J716" s="2" t="b">
        <f t="shared" si="1"/>
        <v>0</v>
      </c>
    </row>
    <row r="717">
      <c r="A717" s="1" t="s">
        <v>2885</v>
      </c>
      <c r="B717" s="3">
        <v>11000.0</v>
      </c>
      <c r="C717" s="3">
        <v>60.0</v>
      </c>
      <c r="D717" s="3">
        <v>50178.0</v>
      </c>
      <c r="E717" s="3">
        <v>145.0</v>
      </c>
      <c r="F717" s="3">
        <v>212.0</v>
      </c>
      <c r="G717" s="3">
        <v>9.0</v>
      </c>
      <c r="H717" s="3">
        <v>3.0</v>
      </c>
      <c r="I717" s="2" t="str">
        <f>IFERROR(__xludf.DUMMYFUNCTION("INDEX(SPLIT(A717, ""/""), 0, 2)"),"random")</f>
        <v>random</v>
      </c>
      <c r="J717" s="2" t="b">
        <f t="shared" si="1"/>
        <v>1</v>
      </c>
    </row>
    <row r="718">
      <c r="A718" s="1" t="s">
        <v>2886</v>
      </c>
      <c r="B718" s="3">
        <v>2012345.0</v>
      </c>
      <c r="C718" s="3">
        <v>60.0</v>
      </c>
      <c r="D718" s="3" t="s">
        <v>28</v>
      </c>
      <c r="E718" s="3" t="s">
        <v>28</v>
      </c>
      <c r="F718" s="3" t="s">
        <v>28</v>
      </c>
      <c r="G718" s="3">
        <v>632.0</v>
      </c>
      <c r="H718" s="3">
        <v>443.0</v>
      </c>
      <c r="I718" s="2" t="str">
        <f>IFERROR(__xludf.DUMMYFUNCTION("INDEX(SPLIT(A718, ""/""), 0, 2)"),"random")</f>
        <v>random</v>
      </c>
      <c r="J718" s="2" t="b">
        <f t="shared" si="1"/>
        <v>1</v>
      </c>
    </row>
    <row r="719">
      <c r="A719" s="1" t="s">
        <v>2887</v>
      </c>
      <c r="B719" s="3">
        <v>200000.0</v>
      </c>
      <c r="C719" s="3">
        <v>60.0</v>
      </c>
      <c r="D719" s="3" t="s">
        <v>28</v>
      </c>
      <c r="E719" s="3">
        <v>302.0</v>
      </c>
      <c r="F719" s="3">
        <v>292.0</v>
      </c>
      <c r="G719" s="3">
        <v>1522.0</v>
      </c>
      <c r="H719" s="3">
        <v>200.0</v>
      </c>
      <c r="I719" s="2" t="str">
        <f>IFERROR(__xludf.DUMMYFUNCTION("INDEX(SPLIT(A719, ""/""), 0, 2)"),"random")</f>
        <v>random</v>
      </c>
      <c r="J719" s="2" t="b">
        <f t="shared" si="1"/>
        <v>1</v>
      </c>
    </row>
    <row r="720">
      <c r="A720" s="1" t="s">
        <v>2888</v>
      </c>
      <c r="B720" s="3">
        <v>2000.0</v>
      </c>
      <c r="C720" s="3">
        <v>60.0</v>
      </c>
      <c r="D720" s="3">
        <v>162.0</v>
      </c>
      <c r="E720" s="3">
        <v>2.0</v>
      </c>
      <c r="F720" s="3">
        <v>1.0</v>
      </c>
      <c r="G720" s="3">
        <v>9.0</v>
      </c>
      <c r="H720" s="3">
        <v>1.0</v>
      </c>
      <c r="I720" s="2" t="str">
        <f>IFERROR(__xludf.DUMMYFUNCTION("INDEX(SPLIT(A720, ""/""), 0, 2)"),"random")</f>
        <v>random</v>
      </c>
      <c r="J720" s="2" t="b">
        <f t="shared" si="1"/>
        <v>1</v>
      </c>
    </row>
    <row r="721">
      <c r="A721" s="1" t="s">
        <v>2889</v>
      </c>
      <c r="B721" s="3">
        <v>33000.0</v>
      </c>
      <c r="C721" s="3">
        <v>60.0</v>
      </c>
      <c r="D721" s="3" t="s">
        <v>28</v>
      </c>
      <c r="E721" s="3">
        <v>1378.0</v>
      </c>
      <c r="F721" s="3">
        <v>2010.0</v>
      </c>
      <c r="G721" s="3">
        <v>30.0</v>
      </c>
      <c r="H721" s="3">
        <v>10.0</v>
      </c>
      <c r="I721" s="2" t="str">
        <f>IFERROR(__xludf.DUMMYFUNCTION("INDEX(SPLIT(A721, ""/""), 0, 2)"),"random")</f>
        <v>random</v>
      </c>
      <c r="J721" s="2" t="b">
        <f t="shared" si="1"/>
        <v>1</v>
      </c>
    </row>
    <row r="722">
      <c r="A722" s="1" t="s">
        <v>2890</v>
      </c>
      <c r="B722" s="3">
        <v>2140.0</v>
      </c>
      <c r="C722" s="3">
        <v>60.0</v>
      </c>
      <c r="D722" s="3">
        <v>885.0</v>
      </c>
      <c r="E722" s="3">
        <v>7.0</v>
      </c>
      <c r="F722" s="3">
        <v>10.0</v>
      </c>
      <c r="G722" s="3">
        <v>2.0</v>
      </c>
      <c r="H722" s="3">
        <v>0.0</v>
      </c>
      <c r="I722" s="2" t="str">
        <f>IFERROR(__xludf.DUMMYFUNCTION("INDEX(SPLIT(A722, ""/""), 0, 2)"),"random")</f>
        <v>random</v>
      </c>
      <c r="J722" s="2" t="b">
        <f t="shared" si="1"/>
        <v>1</v>
      </c>
    </row>
    <row r="723">
      <c r="A723" s="1" t="s">
        <v>2891</v>
      </c>
      <c r="B723" s="3">
        <v>200000.0</v>
      </c>
      <c r="C723" s="3">
        <v>60.0</v>
      </c>
      <c r="D723" s="3" t="s">
        <v>28</v>
      </c>
      <c r="E723" s="3">
        <v>307.0</v>
      </c>
      <c r="F723" s="3">
        <v>294.0</v>
      </c>
      <c r="G723" s="3">
        <v>1512.0</v>
      </c>
      <c r="H723" s="3">
        <v>200.0</v>
      </c>
      <c r="I723" s="2" t="str">
        <f>IFERROR(__xludf.DUMMYFUNCTION("INDEX(SPLIT(A723, ""/""), 0, 2)"),"random")</f>
        <v>random</v>
      </c>
      <c r="J723" s="2" t="b">
        <f t="shared" si="1"/>
        <v>1</v>
      </c>
    </row>
    <row r="724">
      <c r="A724" s="1" t="s">
        <v>2892</v>
      </c>
      <c r="B724" s="3">
        <v>272816.0</v>
      </c>
      <c r="C724" s="3">
        <v>60.0</v>
      </c>
      <c r="D724" s="3" t="s">
        <v>28</v>
      </c>
      <c r="E724" s="3">
        <v>12687.0</v>
      </c>
      <c r="F724" s="3">
        <v>35859.0</v>
      </c>
      <c r="G724" s="3">
        <v>95.0</v>
      </c>
      <c r="H724" s="3">
        <v>57.0</v>
      </c>
      <c r="I724" s="2" t="str">
        <f>IFERROR(__xludf.DUMMYFUNCTION("INDEX(SPLIT(A724, ""/""), 0, 2)"),"random")</f>
        <v>random</v>
      </c>
      <c r="J724" s="2" t="b">
        <f t="shared" si="1"/>
        <v>1</v>
      </c>
    </row>
    <row r="725">
      <c r="A725" s="1" t="s">
        <v>2893</v>
      </c>
      <c r="B725" s="3">
        <v>120000.0</v>
      </c>
      <c r="C725" s="3">
        <v>60.0</v>
      </c>
      <c r="D725" s="3" t="s">
        <v>28</v>
      </c>
      <c r="E725" s="3">
        <v>32324.0</v>
      </c>
      <c r="F725" s="3">
        <v>56452.0</v>
      </c>
      <c r="G725" s="3">
        <v>291.0</v>
      </c>
      <c r="H725" s="3">
        <v>63.0</v>
      </c>
      <c r="I725" s="2" t="str">
        <f>IFERROR(__xludf.DUMMYFUNCTION("INDEX(SPLIT(A725, ""/""), 0, 2)"),"random")</f>
        <v>random</v>
      </c>
      <c r="J725" s="2" t="b">
        <f t="shared" si="1"/>
        <v>1</v>
      </c>
    </row>
    <row r="726">
      <c r="A726" s="1" t="s">
        <v>2894</v>
      </c>
      <c r="B726" s="3">
        <v>40000.0</v>
      </c>
      <c r="C726" s="3">
        <v>60.0</v>
      </c>
      <c r="D726" s="3" t="s">
        <v>28</v>
      </c>
      <c r="E726" s="3">
        <v>3275.0</v>
      </c>
      <c r="F726" s="3">
        <v>5670.0</v>
      </c>
      <c r="G726" s="3">
        <v>146.0</v>
      </c>
      <c r="H726" s="3">
        <v>26.0</v>
      </c>
      <c r="I726" s="2" t="str">
        <f>IFERROR(__xludf.DUMMYFUNCTION("INDEX(SPLIT(A726, ""/""), 0, 2)"),"random")</f>
        <v>random</v>
      </c>
      <c r="J726" s="2" t="b">
        <f t="shared" si="1"/>
        <v>1</v>
      </c>
    </row>
    <row r="727">
      <c r="A727" s="1" t="s">
        <v>2895</v>
      </c>
      <c r="B727" s="3">
        <v>110000.0</v>
      </c>
      <c r="C727" s="3">
        <v>60.0</v>
      </c>
      <c r="D727" s="3" t="s">
        <v>28</v>
      </c>
      <c r="E727" s="3">
        <v>16002.0</v>
      </c>
      <c r="F727" s="3">
        <v>23160.0</v>
      </c>
      <c r="G727" s="3">
        <v>102.0</v>
      </c>
      <c r="H727" s="3">
        <v>34.0</v>
      </c>
      <c r="I727" s="2" t="str">
        <f>IFERROR(__xludf.DUMMYFUNCTION("INDEX(SPLIT(A727, ""/""), 0, 2)"),"random")</f>
        <v>random</v>
      </c>
      <c r="J727" s="2" t="b">
        <f t="shared" si="1"/>
        <v>1</v>
      </c>
    </row>
    <row r="728">
      <c r="A728" s="1" t="s">
        <v>2896</v>
      </c>
      <c r="B728" s="3">
        <v>21132.0</v>
      </c>
      <c r="C728" s="3">
        <v>60.0</v>
      </c>
      <c r="D728" s="3" t="s">
        <v>28</v>
      </c>
      <c r="E728" s="3">
        <v>310.0</v>
      </c>
      <c r="F728" s="3">
        <v>432.0</v>
      </c>
      <c r="G728" s="3">
        <v>12.0</v>
      </c>
      <c r="H728" s="3">
        <v>4.0</v>
      </c>
      <c r="I728" s="2" t="str">
        <f>IFERROR(__xludf.DUMMYFUNCTION("INDEX(SPLIT(A728, ""/""), 0, 2)"),"random")</f>
        <v>random</v>
      </c>
      <c r="J728" s="2" t="b">
        <f t="shared" si="1"/>
        <v>1</v>
      </c>
    </row>
    <row r="729">
      <c r="A729" s="1" t="s">
        <v>2897</v>
      </c>
      <c r="B729" s="3">
        <v>30.0</v>
      </c>
      <c r="C729" s="3">
        <v>60.0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2" t="str">
        <f>IFERROR(__xludf.DUMMYFUNCTION("INDEX(SPLIT(A729, ""/""), 0, 2)"),"random")</f>
        <v>random</v>
      </c>
      <c r="J729" s="2" t="b">
        <f t="shared" si="1"/>
        <v>0</v>
      </c>
    </row>
    <row r="730">
      <c r="A730" s="1" t="s">
        <v>2898</v>
      </c>
      <c r="B730" s="3">
        <v>40000.0</v>
      </c>
      <c r="C730" s="3">
        <v>60.0</v>
      </c>
      <c r="D730" s="3" t="s">
        <v>28</v>
      </c>
      <c r="E730" s="3">
        <v>3254.0</v>
      </c>
      <c r="F730" s="3">
        <v>5783.0</v>
      </c>
      <c r="G730" s="3">
        <v>83.0</v>
      </c>
      <c r="H730" s="3">
        <v>17.0</v>
      </c>
      <c r="I730" s="2" t="str">
        <f>IFERROR(__xludf.DUMMYFUNCTION("INDEX(SPLIT(A730, ""/""), 0, 2)"),"random")</f>
        <v>random</v>
      </c>
      <c r="J730" s="2" t="b">
        <f t="shared" si="1"/>
        <v>1</v>
      </c>
    </row>
    <row r="731">
      <c r="A731" s="1" t="s">
        <v>2899</v>
      </c>
      <c r="B731" s="3">
        <v>60.0</v>
      </c>
      <c r="C731" s="3">
        <v>60.0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2" t="str">
        <f>IFERROR(__xludf.DUMMYFUNCTION("INDEX(SPLIT(A731, ""/""), 0, 2)"),"random")</f>
        <v>random</v>
      </c>
      <c r="J731" s="2" t="b">
        <f t="shared" si="1"/>
        <v>0</v>
      </c>
    </row>
    <row r="732">
      <c r="A732" s="1" t="s">
        <v>2900</v>
      </c>
      <c r="B732" s="3">
        <v>300.0</v>
      </c>
      <c r="C732" s="3">
        <v>60.0</v>
      </c>
      <c r="D732" s="3">
        <v>5.0</v>
      </c>
      <c r="E732" s="3">
        <v>0.0</v>
      </c>
      <c r="F732" s="3">
        <v>0.0</v>
      </c>
      <c r="G732" s="3">
        <v>0.0</v>
      </c>
      <c r="H732" s="3">
        <v>0.0</v>
      </c>
      <c r="I732" s="2" t="str">
        <f>IFERROR(__xludf.DUMMYFUNCTION("INDEX(SPLIT(A732, ""/""), 0, 2)"),"random")</f>
        <v>random</v>
      </c>
      <c r="J732" s="2" t="b">
        <f t="shared" si="1"/>
        <v>0</v>
      </c>
    </row>
    <row r="733">
      <c r="A733" s="1" t="s">
        <v>2901</v>
      </c>
      <c r="B733" s="3">
        <v>49.0</v>
      </c>
      <c r="C733" s="3">
        <v>60.0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2" t="str">
        <f>IFERROR(__xludf.DUMMYFUNCTION("INDEX(SPLIT(A733, ""/""), 0, 2)"),"random")</f>
        <v>random</v>
      </c>
      <c r="J733" s="2" t="b">
        <f t="shared" si="1"/>
        <v>0</v>
      </c>
    </row>
    <row r="734">
      <c r="A734" s="1" t="s">
        <v>2902</v>
      </c>
      <c r="B734" s="3">
        <v>20000.0</v>
      </c>
      <c r="C734" s="3">
        <v>60.0</v>
      </c>
      <c r="D734" s="3">
        <v>17939.0</v>
      </c>
      <c r="E734" s="3">
        <v>22.0</v>
      </c>
      <c r="F734" s="3">
        <v>20.0</v>
      </c>
      <c r="G734" s="3">
        <v>117.0</v>
      </c>
      <c r="H734" s="3">
        <v>15.0</v>
      </c>
      <c r="I734" s="2" t="str">
        <f>IFERROR(__xludf.DUMMYFUNCTION("INDEX(SPLIT(A734, ""/""), 0, 2)"),"random")</f>
        <v>random</v>
      </c>
      <c r="J734" s="2" t="b">
        <f t="shared" si="1"/>
        <v>1</v>
      </c>
    </row>
    <row r="735">
      <c r="A735" s="1" t="s">
        <v>2903</v>
      </c>
      <c r="B735" s="3">
        <v>30973.0</v>
      </c>
      <c r="C735" s="3">
        <v>60.0</v>
      </c>
      <c r="D735" s="3" t="s">
        <v>28</v>
      </c>
      <c r="E735" s="3">
        <v>443.0</v>
      </c>
      <c r="F735" s="3">
        <v>675.0</v>
      </c>
      <c r="G735" s="3">
        <v>14.0</v>
      </c>
      <c r="H735" s="3">
        <v>6.0</v>
      </c>
      <c r="I735" s="2" t="str">
        <f>IFERROR(__xludf.DUMMYFUNCTION("INDEX(SPLIT(A735, ""/""), 0, 2)"),"random")</f>
        <v>random</v>
      </c>
      <c r="J735" s="2" t="b">
        <f t="shared" si="1"/>
        <v>1</v>
      </c>
    </row>
    <row r="736">
      <c r="A736" s="1" t="s">
        <v>2904</v>
      </c>
      <c r="B736" s="3">
        <v>200.0</v>
      </c>
      <c r="C736" s="3">
        <v>60.0</v>
      </c>
      <c r="D736" s="3">
        <v>1.0</v>
      </c>
      <c r="E736" s="3">
        <v>0.0</v>
      </c>
      <c r="F736" s="3">
        <v>0.0</v>
      </c>
      <c r="G736" s="3">
        <v>0.0</v>
      </c>
      <c r="H736" s="3">
        <v>0.0</v>
      </c>
      <c r="I736" s="2" t="str">
        <f>IFERROR(__xludf.DUMMYFUNCTION("INDEX(SPLIT(A736, ""/""), 0, 2)"),"random")</f>
        <v>random</v>
      </c>
      <c r="J736" s="2" t="b">
        <f t="shared" si="1"/>
        <v>0</v>
      </c>
    </row>
    <row r="737">
      <c r="A737" s="1" t="s">
        <v>2905</v>
      </c>
      <c r="B737" s="3">
        <v>43.0</v>
      </c>
      <c r="C737" s="3">
        <v>60.0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2" t="str">
        <f>IFERROR(__xludf.DUMMYFUNCTION("INDEX(SPLIT(A737, ""/""), 0, 2)"),"random")</f>
        <v>random</v>
      </c>
      <c r="J737" s="2" t="b">
        <f t="shared" si="1"/>
        <v>0</v>
      </c>
    </row>
    <row r="738">
      <c r="A738" s="1" t="s">
        <v>2906</v>
      </c>
      <c r="B738" s="3">
        <v>40.0</v>
      </c>
      <c r="C738" s="3">
        <v>60.0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2" t="str">
        <f>IFERROR(__xludf.DUMMYFUNCTION("INDEX(SPLIT(A738, ""/""), 0, 2)"),"random")</f>
        <v>random</v>
      </c>
      <c r="J738" s="2" t="b">
        <f t="shared" si="1"/>
        <v>0</v>
      </c>
    </row>
    <row r="739">
      <c r="A739" s="1" t="s">
        <v>2907</v>
      </c>
      <c r="B739" s="3">
        <v>1200.0</v>
      </c>
      <c r="C739" s="3">
        <v>60.0</v>
      </c>
      <c r="D739" s="3">
        <v>366.0</v>
      </c>
      <c r="E739" s="3">
        <v>3.0</v>
      </c>
      <c r="F739" s="3">
        <v>5.0</v>
      </c>
      <c r="G739" s="3">
        <v>2.0</v>
      </c>
      <c r="H739" s="3">
        <v>0.0</v>
      </c>
      <c r="I739" s="2" t="str">
        <f>IFERROR(__xludf.DUMMYFUNCTION("INDEX(SPLIT(A739, ""/""), 0, 2)"),"random")</f>
        <v>random</v>
      </c>
      <c r="J739" s="2" t="b">
        <f t="shared" si="1"/>
        <v>1</v>
      </c>
    </row>
    <row r="740">
      <c r="A740" s="1" t="s">
        <v>2908</v>
      </c>
      <c r="B740" s="3">
        <v>3300.0</v>
      </c>
      <c r="C740" s="3">
        <v>60.0</v>
      </c>
      <c r="D740" s="3">
        <v>1319.0</v>
      </c>
      <c r="E740" s="3">
        <v>12.0</v>
      </c>
      <c r="F740" s="3">
        <v>18.0</v>
      </c>
      <c r="G740" s="3">
        <v>2.0</v>
      </c>
      <c r="H740" s="3">
        <v>1.0</v>
      </c>
      <c r="I740" s="2" t="str">
        <f>IFERROR(__xludf.DUMMYFUNCTION("INDEX(SPLIT(A740, ""/""), 0, 2)"),"random")</f>
        <v>random</v>
      </c>
      <c r="J740" s="2" t="b">
        <f t="shared" si="1"/>
        <v>1</v>
      </c>
    </row>
    <row r="741">
      <c r="A741" s="1" t="s">
        <v>2909</v>
      </c>
      <c r="B741" s="3">
        <v>90000.0</v>
      </c>
      <c r="C741" s="3">
        <v>60.0</v>
      </c>
      <c r="D741" s="3" t="s">
        <v>28</v>
      </c>
      <c r="E741" s="3">
        <v>13717.0</v>
      </c>
      <c r="F741" s="3">
        <v>24881.0</v>
      </c>
      <c r="G741" s="3">
        <v>267.0</v>
      </c>
      <c r="H741" s="3">
        <v>50.0</v>
      </c>
      <c r="I741" s="2" t="str">
        <f>IFERROR(__xludf.DUMMYFUNCTION("INDEX(SPLIT(A741, ""/""), 0, 2)"),"random")</f>
        <v>random</v>
      </c>
      <c r="J741" s="2" t="b">
        <f t="shared" si="1"/>
        <v>1</v>
      </c>
    </row>
    <row r="742">
      <c r="A742" s="1" t="s">
        <v>2910</v>
      </c>
      <c r="B742" s="3">
        <v>11125.0</v>
      </c>
      <c r="C742" s="3">
        <v>60.0</v>
      </c>
      <c r="D742" s="3">
        <v>50997.0</v>
      </c>
      <c r="E742" s="3">
        <v>146.0</v>
      </c>
      <c r="F742" s="3">
        <v>199.0</v>
      </c>
      <c r="G742" s="3">
        <v>8.0</v>
      </c>
      <c r="H742" s="3">
        <v>2.0</v>
      </c>
      <c r="I742" s="2" t="str">
        <f>IFERROR(__xludf.DUMMYFUNCTION("INDEX(SPLIT(A742, ""/""), 0, 2)"),"random")</f>
        <v>random</v>
      </c>
      <c r="J742" s="2" t="b">
        <f t="shared" si="1"/>
        <v>1</v>
      </c>
    </row>
    <row r="743">
      <c r="A743" s="1" t="s">
        <v>2911</v>
      </c>
      <c r="B743" s="3">
        <v>20.0</v>
      </c>
      <c r="C743" s="3">
        <v>60.0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2" t="str">
        <f>IFERROR(__xludf.DUMMYFUNCTION("INDEX(SPLIT(A743, ""/""), 0, 2)"),"random")</f>
        <v>random</v>
      </c>
      <c r="J743" s="2" t="b">
        <f t="shared" si="1"/>
        <v>0</v>
      </c>
    </row>
    <row r="744">
      <c r="A744" s="1" t="s">
        <v>2912</v>
      </c>
      <c r="B744" s="3">
        <v>1100000.0</v>
      </c>
      <c r="C744" s="3">
        <v>60.0</v>
      </c>
      <c r="D744" s="3" t="s">
        <v>28</v>
      </c>
      <c r="E744" s="3" t="s">
        <v>28</v>
      </c>
      <c r="F744" s="3" t="s">
        <v>28</v>
      </c>
      <c r="G744" s="3">
        <v>1548.0</v>
      </c>
      <c r="H744" s="3">
        <v>474.0</v>
      </c>
      <c r="I744" s="2" t="str">
        <f>IFERROR(__xludf.DUMMYFUNCTION("INDEX(SPLIT(A744, ""/""), 0, 2)"),"random")</f>
        <v>random</v>
      </c>
      <c r="J744" s="2" t="b">
        <f t="shared" si="1"/>
        <v>1</v>
      </c>
    </row>
    <row r="745">
      <c r="A745" s="1" t="s">
        <v>99</v>
      </c>
      <c r="B745" s="3">
        <v>1792.0</v>
      </c>
      <c r="C745" s="3">
        <v>60.0</v>
      </c>
      <c r="D745" s="3">
        <v>8.0</v>
      </c>
      <c r="E745" s="3">
        <v>0.0</v>
      </c>
      <c r="F745" s="3">
        <v>0.0</v>
      </c>
      <c r="G745" s="3">
        <v>0.0</v>
      </c>
      <c r="H745" s="3">
        <v>0.0</v>
      </c>
      <c r="I745" s="2" t="str">
        <f>IFERROR(__xludf.DUMMYFUNCTION("INDEX(SPLIT(A745, ""/""), 0, 2)"),"regex")</f>
        <v>regex</v>
      </c>
      <c r="J745" s="2" t="b">
        <f t="shared" si="1"/>
        <v>0</v>
      </c>
    </row>
    <row r="746">
      <c r="A746" s="1" t="s">
        <v>100</v>
      </c>
      <c r="B746" s="3">
        <v>55.0</v>
      </c>
      <c r="C746" s="3">
        <v>60.0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2" t="str">
        <f>IFERROR(__xludf.DUMMYFUNCTION("INDEX(SPLIT(A746, ""/""), 0, 2)"),"regex")</f>
        <v>regex</v>
      </c>
      <c r="J746" s="2" t="b">
        <f t="shared" si="1"/>
        <v>0</v>
      </c>
    </row>
    <row r="747">
      <c r="A747" s="1" t="s">
        <v>101</v>
      </c>
      <c r="B747" s="3">
        <v>21.0</v>
      </c>
      <c r="C747" s="3">
        <v>60.0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2" t="str">
        <f>IFERROR(__xludf.DUMMYFUNCTION("INDEX(SPLIT(A747, ""/""), 0, 2)"),"regex")</f>
        <v>regex</v>
      </c>
      <c r="J747" s="2" t="b">
        <f t="shared" si="1"/>
        <v>0</v>
      </c>
    </row>
    <row r="748">
      <c r="A748" s="1" t="s">
        <v>102</v>
      </c>
      <c r="B748" s="3">
        <v>55.0</v>
      </c>
      <c r="C748" s="3">
        <v>60.0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2" t="str">
        <f>IFERROR(__xludf.DUMMYFUNCTION("INDEX(SPLIT(A748, ""/""), 0, 2)"),"regex")</f>
        <v>regex</v>
      </c>
      <c r="J748" s="2" t="b">
        <f t="shared" si="1"/>
        <v>0</v>
      </c>
    </row>
    <row r="749">
      <c r="A749" s="1" t="s">
        <v>103</v>
      </c>
      <c r="B749" s="3">
        <v>304.0</v>
      </c>
      <c r="C749" s="3">
        <v>60.0</v>
      </c>
      <c r="D749" s="3">
        <v>2.0</v>
      </c>
      <c r="E749" s="3">
        <v>0.0</v>
      </c>
      <c r="F749" s="3">
        <v>0.0</v>
      </c>
      <c r="G749" s="3">
        <v>0.0</v>
      </c>
      <c r="H749" s="3">
        <v>0.0</v>
      </c>
      <c r="I749" s="2" t="str">
        <f>IFERROR(__xludf.DUMMYFUNCTION("INDEX(SPLIT(A749, ""/""), 0, 2)"),"regex")</f>
        <v>regex</v>
      </c>
      <c r="J749" s="2" t="b">
        <f t="shared" si="1"/>
        <v>0</v>
      </c>
    </row>
    <row r="750">
      <c r="A750" s="1" t="s">
        <v>104</v>
      </c>
      <c r="B750" s="3">
        <v>1733.0</v>
      </c>
      <c r="C750" s="3">
        <v>60.0</v>
      </c>
      <c r="D750" s="3">
        <v>38.0</v>
      </c>
      <c r="E750" s="3">
        <v>1.0</v>
      </c>
      <c r="F750" s="3">
        <v>2.0</v>
      </c>
      <c r="G750" s="3">
        <v>13.0</v>
      </c>
      <c r="H750" s="3">
        <v>0.0</v>
      </c>
      <c r="I750" s="2" t="str">
        <f>IFERROR(__xludf.DUMMYFUNCTION("INDEX(SPLIT(A750, ""/""), 0, 2)"),"regex")</f>
        <v>regex</v>
      </c>
      <c r="J750" s="2" t="b">
        <f t="shared" si="1"/>
        <v>1</v>
      </c>
    </row>
    <row r="751">
      <c r="A751" s="1" t="s">
        <v>105</v>
      </c>
      <c r="B751" s="3">
        <v>304.0</v>
      </c>
      <c r="C751" s="3">
        <v>60.0</v>
      </c>
      <c r="D751" s="3">
        <v>2.0</v>
      </c>
      <c r="E751" s="3">
        <v>0.0</v>
      </c>
      <c r="F751" s="3">
        <v>0.0</v>
      </c>
      <c r="G751" s="3">
        <v>0.0</v>
      </c>
      <c r="H751" s="3">
        <v>0.0</v>
      </c>
      <c r="I751" s="2" t="str">
        <f>IFERROR(__xludf.DUMMYFUNCTION("INDEX(SPLIT(A751, ""/""), 0, 2)"),"regex")</f>
        <v>regex</v>
      </c>
      <c r="J751" s="2" t="b">
        <f t="shared" si="1"/>
        <v>0</v>
      </c>
    </row>
    <row r="752">
      <c r="A752" s="1" t="s">
        <v>106</v>
      </c>
      <c r="B752" s="3">
        <v>1733.0</v>
      </c>
      <c r="C752" s="3">
        <v>60.0</v>
      </c>
      <c r="D752" s="3">
        <v>41.0</v>
      </c>
      <c r="E752" s="3">
        <v>1.0</v>
      </c>
      <c r="F752" s="3">
        <v>1.0</v>
      </c>
      <c r="G752" s="3">
        <v>6.0</v>
      </c>
      <c r="H752" s="3">
        <v>0.0</v>
      </c>
      <c r="I752" s="2" t="str">
        <f>IFERROR(__xludf.DUMMYFUNCTION("INDEX(SPLIT(A752, ""/""), 0, 2)"),"regex")</f>
        <v>regex</v>
      </c>
      <c r="J752" s="2" t="b">
        <f t="shared" si="1"/>
        <v>1</v>
      </c>
    </row>
    <row r="753">
      <c r="A753" s="1" t="s">
        <v>107</v>
      </c>
      <c r="B753" s="3">
        <v>209.0</v>
      </c>
      <c r="C753" s="3">
        <v>60.0</v>
      </c>
      <c r="D753" s="3">
        <v>1.0</v>
      </c>
      <c r="E753" s="3">
        <v>0.0</v>
      </c>
      <c r="F753" s="3">
        <v>0.0</v>
      </c>
      <c r="G753" s="3">
        <v>1.0</v>
      </c>
      <c r="H753" s="3">
        <v>0.0</v>
      </c>
      <c r="I753" s="2" t="str">
        <f>IFERROR(__xludf.DUMMYFUNCTION("INDEX(SPLIT(A753, ""/""), 0, 2)"),"regex")</f>
        <v>regex</v>
      </c>
      <c r="J753" s="2" t="b">
        <f t="shared" si="1"/>
        <v>0</v>
      </c>
    </row>
    <row r="754">
      <c r="A754" s="1" t="s">
        <v>108</v>
      </c>
      <c r="B754" s="3">
        <v>209.0</v>
      </c>
      <c r="C754" s="3">
        <v>60.0</v>
      </c>
      <c r="D754" s="3">
        <v>1.0</v>
      </c>
      <c r="E754" s="3">
        <v>0.0</v>
      </c>
      <c r="F754" s="3">
        <v>0.0</v>
      </c>
      <c r="G754" s="3">
        <v>1.0</v>
      </c>
      <c r="H754" s="3">
        <v>0.0</v>
      </c>
      <c r="I754" s="2" t="str">
        <f>IFERROR(__xludf.DUMMYFUNCTION("INDEX(SPLIT(A754, ""/""), 0, 2)"),"regex")</f>
        <v>regex</v>
      </c>
      <c r="J754" s="2" t="b">
        <f t="shared" si="1"/>
        <v>0</v>
      </c>
    </row>
    <row r="755">
      <c r="A755" s="1" t="s">
        <v>109</v>
      </c>
      <c r="B755" s="3">
        <v>1306.0</v>
      </c>
      <c r="C755" s="3">
        <v>60.0</v>
      </c>
      <c r="D755" s="3">
        <v>29.0</v>
      </c>
      <c r="E755" s="3">
        <v>1.0</v>
      </c>
      <c r="F755" s="3">
        <v>1.0</v>
      </c>
      <c r="G755" s="3">
        <v>8.0</v>
      </c>
      <c r="H755" s="3">
        <v>0.0</v>
      </c>
      <c r="I755" s="2" t="str">
        <f>IFERROR(__xludf.DUMMYFUNCTION("INDEX(SPLIT(A755, ""/""), 0, 2)"),"regex")</f>
        <v>regex</v>
      </c>
      <c r="J755" s="2" t="b">
        <f t="shared" si="1"/>
        <v>1</v>
      </c>
    </row>
    <row r="756">
      <c r="A756" s="1" t="s">
        <v>110</v>
      </c>
      <c r="B756" s="3">
        <v>304.0</v>
      </c>
      <c r="C756" s="3">
        <v>60.0</v>
      </c>
      <c r="D756" s="3">
        <v>2.0</v>
      </c>
      <c r="E756" s="3">
        <v>0.0</v>
      </c>
      <c r="F756" s="3">
        <v>0.0</v>
      </c>
      <c r="G756" s="3">
        <v>0.0</v>
      </c>
      <c r="H756" s="3">
        <v>0.0</v>
      </c>
      <c r="I756" s="2" t="str">
        <f>IFERROR(__xludf.DUMMYFUNCTION("INDEX(SPLIT(A756, ""/""), 0, 2)"),"regex")</f>
        <v>regex</v>
      </c>
      <c r="J756" s="2" t="b">
        <f t="shared" si="1"/>
        <v>0</v>
      </c>
    </row>
    <row r="757">
      <c r="A757" s="1" t="s">
        <v>111</v>
      </c>
      <c r="B757" s="3">
        <v>147.0</v>
      </c>
      <c r="C757" s="3">
        <v>60.0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2" t="str">
        <f>IFERROR(__xludf.DUMMYFUNCTION("INDEX(SPLIT(A757, ""/""), 0, 2)"),"regex")</f>
        <v>regex</v>
      </c>
      <c r="J757" s="2" t="b">
        <f t="shared" si="1"/>
        <v>0</v>
      </c>
    </row>
    <row r="758">
      <c r="A758" s="1" t="s">
        <v>112</v>
      </c>
      <c r="B758" s="3">
        <v>150.0</v>
      </c>
      <c r="C758" s="3">
        <v>60.0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2" t="str">
        <f>IFERROR(__xludf.DUMMYFUNCTION("INDEX(SPLIT(A758, ""/""), 0, 2)"),"regex")</f>
        <v>regex</v>
      </c>
      <c r="J758" s="2" t="b">
        <f t="shared" si="1"/>
        <v>0</v>
      </c>
    </row>
    <row r="759">
      <c r="A759" s="1" t="s">
        <v>113</v>
      </c>
      <c r="B759" s="3">
        <v>1765.0</v>
      </c>
      <c r="C759" s="3">
        <v>60.0</v>
      </c>
      <c r="D759" s="3">
        <v>43.0</v>
      </c>
      <c r="E759" s="3">
        <v>1.0</v>
      </c>
      <c r="F759" s="3">
        <v>2.0</v>
      </c>
      <c r="G759" s="3">
        <v>6.0</v>
      </c>
      <c r="H759" s="3">
        <v>0.0</v>
      </c>
      <c r="I759" s="2" t="str">
        <f>IFERROR(__xludf.DUMMYFUNCTION("INDEX(SPLIT(A759, ""/""), 0, 2)"),"regex")</f>
        <v>regex</v>
      </c>
      <c r="J759" s="2" t="b">
        <f t="shared" si="1"/>
        <v>1</v>
      </c>
    </row>
    <row r="760">
      <c r="A760" s="1" t="s">
        <v>114</v>
      </c>
      <c r="B760" s="3">
        <v>1.0</v>
      </c>
      <c r="C760" s="3">
        <v>60.0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2" t="str">
        <f>IFERROR(__xludf.DUMMYFUNCTION("INDEX(SPLIT(A760, ""/""), 0, 2)"),"regex")</f>
        <v>regex</v>
      </c>
      <c r="J760" s="2" t="b">
        <f t="shared" si="1"/>
        <v>0</v>
      </c>
    </row>
    <row r="761">
      <c r="A761" s="1" t="s">
        <v>115</v>
      </c>
      <c r="B761" s="3">
        <v>13.0</v>
      </c>
      <c r="C761" s="3">
        <v>60.0</v>
      </c>
      <c r="D761" s="3">
        <v>0.0</v>
      </c>
      <c r="E761" s="3">
        <v>0.0</v>
      </c>
      <c r="F761" s="3">
        <v>0.0</v>
      </c>
      <c r="G761" s="3">
        <v>0.0</v>
      </c>
      <c r="H761" s="3">
        <v>0.0</v>
      </c>
      <c r="I761" s="2" t="str">
        <f>IFERROR(__xludf.DUMMYFUNCTION("INDEX(SPLIT(A761, ""/""), 0, 2)"),"regex")</f>
        <v>regex</v>
      </c>
      <c r="J761" s="2" t="b">
        <f t="shared" si="1"/>
        <v>0</v>
      </c>
    </row>
    <row r="762">
      <c r="A762" s="1" t="s">
        <v>116</v>
      </c>
      <c r="B762" s="3">
        <v>7.0</v>
      </c>
      <c r="C762" s="3">
        <v>60.0</v>
      </c>
      <c r="D762" s="3">
        <v>0.0</v>
      </c>
      <c r="E762" s="3">
        <v>0.0</v>
      </c>
      <c r="F762" s="3">
        <v>0.0</v>
      </c>
      <c r="G762" s="3">
        <v>0.0</v>
      </c>
      <c r="H762" s="3">
        <v>0.0</v>
      </c>
      <c r="I762" s="2" t="str">
        <f>IFERROR(__xludf.DUMMYFUNCTION("INDEX(SPLIT(A762, ""/""), 0, 2)"),"regex")</f>
        <v>regex</v>
      </c>
      <c r="J762" s="2" t="b">
        <f t="shared" si="1"/>
        <v>0</v>
      </c>
    </row>
    <row r="763">
      <c r="A763" s="1" t="s">
        <v>117</v>
      </c>
      <c r="B763" s="3">
        <v>68.0</v>
      </c>
      <c r="C763" s="3">
        <v>60.0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2" t="str">
        <f>IFERROR(__xludf.DUMMYFUNCTION("INDEX(SPLIT(A763, ""/""), 0, 2)"),"regex")</f>
        <v>regex</v>
      </c>
      <c r="J763" s="2" t="b">
        <f t="shared" si="1"/>
        <v>0</v>
      </c>
    </row>
    <row r="764">
      <c r="A764" s="1" t="s">
        <v>118</v>
      </c>
      <c r="B764" s="3">
        <v>42.0</v>
      </c>
      <c r="C764" s="3">
        <v>60.0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2" t="str">
        <f>IFERROR(__xludf.DUMMYFUNCTION("INDEX(SPLIT(A764, ""/""), 0, 2)"),"regex")</f>
        <v>regex</v>
      </c>
      <c r="J764" s="2" t="b">
        <f t="shared" si="1"/>
        <v>0</v>
      </c>
    </row>
    <row r="765">
      <c r="A765" s="1" t="s">
        <v>119</v>
      </c>
      <c r="B765" s="3">
        <v>16.0</v>
      </c>
      <c r="C765" s="3">
        <v>60.0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2" t="str">
        <f>IFERROR(__xludf.DUMMYFUNCTION("INDEX(SPLIT(A765, ""/""), 0, 2)"),"regex")</f>
        <v>regex</v>
      </c>
      <c r="J765" s="2" t="b">
        <f t="shared" si="1"/>
        <v>0</v>
      </c>
    </row>
    <row r="766">
      <c r="A766" s="1" t="s">
        <v>120</v>
      </c>
      <c r="B766" s="3">
        <v>1.0</v>
      </c>
      <c r="C766" s="3">
        <v>60.0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2" t="str">
        <f>IFERROR(__xludf.DUMMYFUNCTION("INDEX(SPLIT(A766, ""/""), 0, 2)"),"regex")</f>
        <v>regex</v>
      </c>
      <c r="J766" s="2" t="b">
        <f t="shared" si="1"/>
        <v>0</v>
      </c>
    </row>
    <row r="767">
      <c r="A767" s="1" t="s">
        <v>121</v>
      </c>
      <c r="B767" s="3">
        <v>20.0</v>
      </c>
      <c r="C767" s="3">
        <v>60.0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2" t="str">
        <f>IFERROR(__xludf.DUMMYFUNCTION("INDEX(SPLIT(A767, ""/""), 0, 2)"),"regex")</f>
        <v>regex</v>
      </c>
      <c r="J767" s="2" t="b">
        <f t="shared" si="1"/>
        <v>0</v>
      </c>
    </row>
    <row r="768">
      <c r="A768" s="1" t="s">
        <v>122</v>
      </c>
      <c r="B768" s="3">
        <v>19.0</v>
      </c>
      <c r="C768" s="3">
        <v>60.0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2" t="str">
        <f>IFERROR(__xludf.DUMMYFUNCTION("INDEX(SPLIT(A768, ""/""), 0, 2)"),"regex")</f>
        <v>regex</v>
      </c>
      <c r="J768" s="2" t="b">
        <f t="shared" si="1"/>
        <v>0</v>
      </c>
    </row>
    <row r="769">
      <c r="A769" s="1" t="s">
        <v>123</v>
      </c>
      <c r="B769" s="3">
        <v>115.0</v>
      </c>
      <c r="C769" s="3">
        <v>60.0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2" t="str">
        <f>IFERROR(__xludf.DUMMYFUNCTION("INDEX(SPLIT(A769, ""/""), 0, 2)"),"regex")</f>
        <v>regex</v>
      </c>
      <c r="J769" s="2" t="b">
        <f t="shared" si="1"/>
        <v>0</v>
      </c>
    </row>
    <row r="770">
      <c r="A770" s="1" t="s">
        <v>124</v>
      </c>
      <c r="B770" s="3">
        <v>522.0</v>
      </c>
      <c r="C770" s="3">
        <v>60.0</v>
      </c>
      <c r="D770" s="3">
        <v>8.0</v>
      </c>
      <c r="E770" s="3">
        <v>0.0</v>
      </c>
      <c r="F770" s="3">
        <v>0.0</v>
      </c>
      <c r="G770" s="3">
        <v>3.0</v>
      </c>
      <c r="H770" s="3">
        <v>0.0</v>
      </c>
      <c r="I770" s="2" t="str">
        <f>IFERROR(__xludf.DUMMYFUNCTION("INDEX(SPLIT(A770, ""/""), 0, 2)"),"regex")</f>
        <v>regex</v>
      </c>
      <c r="J770" s="2" t="b">
        <f t="shared" si="1"/>
        <v>0</v>
      </c>
    </row>
    <row r="771">
      <c r="A771" s="1" t="s">
        <v>125</v>
      </c>
      <c r="B771" s="3">
        <v>4591.0</v>
      </c>
      <c r="C771" s="3">
        <v>60.0</v>
      </c>
      <c r="D771" s="3">
        <v>17.0</v>
      </c>
      <c r="E771" s="3">
        <v>1.0</v>
      </c>
      <c r="F771" s="3">
        <v>1.0</v>
      </c>
      <c r="G771" s="3">
        <v>1.0</v>
      </c>
      <c r="H771" s="3">
        <v>1.0</v>
      </c>
      <c r="I771" s="2" t="str">
        <f>IFERROR(__xludf.DUMMYFUNCTION("INDEX(SPLIT(A771, ""/""), 0, 2)"),"regex")</f>
        <v>regex</v>
      </c>
      <c r="J771" s="2" t="b">
        <f t="shared" si="1"/>
        <v>1</v>
      </c>
    </row>
    <row r="772">
      <c r="A772" s="1" t="s">
        <v>126</v>
      </c>
      <c r="B772" s="3">
        <v>1105.0</v>
      </c>
      <c r="C772" s="3">
        <v>60.0</v>
      </c>
      <c r="D772" s="3">
        <v>210.0</v>
      </c>
      <c r="E772" s="3">
        <v>0.0</v>
      </c>
      <c r="F772" s="3">
        <v>1.0</v>
      </c>
      <c r="G772" s="3">
        <v>5.0</v>
      </c>
      <c r="H772" s="3">
        <v>0.0</v>
      </c>
      <c r="I772" s="2" t="str">
        <f>IFERROR(__xludf.DUMMYFUNCTION("INDEX(SPLIT(A772, ""/""), 0, 2)"),"regex")</f>
        <v>regex</v>
      </c>
      <c r="J772" s="2" t="b">
        <f t="shared" si="1"/>
        <v>1</v>
      </c>
    </row>
    <row r="773">
      <c r="A773" s="1" t="s">
        <v>127</v>
      </c>
      <c r="B773" s="3">
        <v>531.0</v>
      </c>
      <c r="C773" s="3">
        <v>60.0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2" t="str">
        <f>IFERROR(__xludf.DUMMYFUNCTION("INDEX(SPLIT(A773, ""/""), 0, 2)"),"regex")</f>
        <v>regex</v>
      </c>
      <c r="J773" s="2" t="b">
        <f t="shared" si="1"/>
        <v>0</v>
      </c>
    </row>
    <row r="774">
      <c r="A774" s="1" t="s">
        <v>128</v>
      </c>
      <c r="B774" s="3">
        <v>55.0</v>
      </c>
      <c r="C774" s="3">
        <v>60.0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2" t="str">
        <f>IFERROR(__xludf.DUMMYFUNCTION("INDEX(SPLIT(A774, ""/""), 0, 2)"),"regex")</f>
        <v>regex</v>
      </c>
      <c r="J774" s="2" t="b">
        <f t="shared" si="1"/>
        <v>0</v>
      </c>
    </row>
    <row r="775">
      <c r="A775" s="1" t="s">
        <v>129</v>
      </c>
      <c r="B775" s="3">
        <v>335.0</v>
      </c>
      <c r="C775" s="3">
        <v>60.0</v>
      </c>
      <c r="D775" s="3">
        <v>7.0</v>
      </c>
      <c r="E775" s="3">
        <v>0.0</v>
      </c>
      <c r="F775" s="3">
        <v>0.0</v>
      </c>
      <c r="G775" s="3">
        <v>1.0</v>
      </c>
      <c r="H775" s="3">
        <v>0.0</v>
      </c>
      <c r="I775" s="2" t="str">
        <f>IFERROR(__xludf.DUMMYFUNCTION("INDEX(SPLIT(A775, ""/""), 0, 2)"),"regex")</f>
        <v>regex</v>
      </c>
      <c r="J775" s="2" t="b">
        <f t="shared" si="1"/>
        <v>0</v>
      </c>
    </row>
    <row r="776">
      <c r="A776" s="1" t="s">
        <v>130</v>
      </c>
      <c r="B776" s="3">
        <v>158.0</v>
      </c>
      <c r="C776" s="3">
        <v>60.0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2" t="str">
        <f>IFERROR(__xludf.DUMMYFUNCTION("INDEX(SPLIT(A776, ""/""), 0, 2)"),"regex")</f>
        <v>regex</v>
      </c>
      <c r="J776" s="2" t="b">
        <f t="shared" si="1"/>
        <v>0</v>
      </c>
    </row>
    <row r="777">
      <c r="A777" s="1" t="s">
        <v>131</v>
      </c>
      <c r="B777" s="3">
        <v>510.0</v>
      </c>
      <c r="C777" s="3">
        <v>60.0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2" t="str">
        <f>IFERROR(__xludf.DUMMYFUNCTION("INDEX(SPLIT(A777, ""/""), 0, 2)"),"regex")</f>
        <v>regex</v>
      </c>
      <c r="J777" s="2" t="b">
        <f t="shared" si="1"/>
        <v>0</v>
      </c>
    </row>
    <row r="778">
      <c r="A778" s="1" t="s">
        <v>132</v>
      </c>
      <c r="B778" s="3">
        <v>17.0</v>
      </c>
      <c r="C778" s="3">
        <v>60.0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2" t="str">
        <f>IFERROR(__xludf.DUMMYFUNCTION("INDEX(SPLIT(A778, ""/""), 0, 2)"),"regex")</f>
        <v>regex</v>
      </c>
      <c r="J778" s="2" t="b">
        <f t="shared" si="1"/>
        <v>0</v>
      </c>
    </row>
    <row r="779">
      <c r="A779" s="1" t="s">
        <v>133</v>
      </c>
      <c r="B779" s="3">
        <v>11005.0</v>
      </c>
      <c r="C779" s="3">
        <v>60.0</v>
      </c>
      <c r="D779" s="3" t="s">
        <v>28</v>
      </c>
      <c r="E779" s="3">
        <v>6.0</v>
      </c>
      <c r="F779" s="3">
        <v>27.0</v>
      </c>
      <c r="G779" s="3">
        <v>77.0</v>
      </c>
      <c r="H779" s="3">
        <v>5.0</v>
      </c>
      <c r="I779" s="2" t="str">
        <f>IFERROR(__xludf.DUMMYFUNCTION("INDEX(SPLIT(A779, ""/""), 0, 2)"),"regex")</f>
        <v>regex</v>
      </c>
      <c r="J779" s="2" t="b">
        <f t="shared" si="1"/>
        <v>1</v>
      </c>
    </row>
    <row r="780">
      <c r="A780" s="1" t="s">
        <v>134</v>
      </c>
      <c r="B780" s="3">
        <v>5202.0</v>
      </c>
      <c r="C780" s="3">
        <v>60.0</v>
      </c>
      <c r="D780" s="3">
        <v>915.0</v>
      </c>
      <c r="E780" s="3">
        <v>3.0</v>
      </c>
      <c r="F780" s="3">
        <v>14.0</v>
      </c>
      <c r="G780" s="3">
        <v>62.0</v>
      </c>
      <c r="H780" s="3">
        <v>2.0</v>
      </c>
      <c r="I780" s="2" t="str">
        <f>IFERROR(__xludf.DUMMYFUNCTION("INDEX(SPLIT(A780, ""/""), 0, 2)"),"regex")</f>
        <v>regex</v>
      </c>
      <c r="J780" s="2" t="b">
        <f t="shared" si="1"/>
        <v>1</v>
      </c>
    </row>
    <row r="781">
      <c r="A781" s="1" t="s">
        <v>135</v>
      </c>
      <c r="B781" s="3">
        <v>33005.0</v>
      </c>
      <c r="C781" s="3">
        <v>60.0</v>
      </c>
      <c r="D781" s="3" t="s">
        <v>28</v>
      </c>
      <c r="E781" s="3">
        <v>21.0</v>
      </c>
      <c r="F781" s="3">
        <v>125.0</v>
      </c>
      <c r="G781" s="3">
        <v>280.0</v>
      </c>
      <c r="H781" s="3">
        <v>17.0</v>
      </c>
      <c r="I781" s="2" t="str">
        <f>IFERROR(__xludf.DUMMYFUNCTION("INDEX(SPLIT(A781, ""/""), 0, 2)"),"regex")</f>
        <v>regex</v>
      </c>
      <c r="J781" s="2" t="b">
        <f t="shared" si="1"/>
        <v>1</v>
      </c>
    </row>
    <row r="782">
      <c r="A782" s="1" t="s">
        <v>136</v>
      </c>
      <c r="B782" s="3">
        <v>629043.0</v>
      </c>
      <c r="C782" s="3">
        <v>60.0</v>
      </c>
      <c r="D782" s="3">
        <v>376.0</v>
      </c>
      <c r="E782" s="3">
        <v>94.0</v>
      </c>
      <c r="F782" s="3">
        <v>97.0</v>
      </c>
      <c r="G782" s="3">
        <v>108.0</v>
      </c>
      <c r="H782" s="3">
        <v>102.0</v>
      </c>
      <c r="I782" s="2" t="str">
        <f>IFERROR(__xludf.DUMMYFUNCTION("INDEX(SPLIT(A782, ""/""), 0, 2)"),"regex")</f>
        <v>regex</v>
      </c>
      <c r="J782" s="2" t="b">
        <f t="shared" si="1"/>
        <v>1</v>
      </c>
    </row>
    <row r="783">
      <c r="A783" s="1" t="s">
        <v>137</v>
      </c>
      <c r="B783" s="3">
        <v>15602.0</v>
      </c>
      <c r="C783" s="3">
        <v>60.0</v>
      </c>
      <c r="D783" s="3">
        <v>8813.0</v>
      </c>
      <c r="E783" s="3">
        <v>11.0</v>
      </c>
      <c r="F783" s="3">
        <v>68.0</v>
      </c>
      <c r="G783" s="3">
        <v>237.0</v>
      </c>
      <c r="H783" s="3">
        <v>9.0</v>
      </c>
      <c r="I783" s="2" t="str">
        <f>IFERROR(__xludf.DUMMYFUNCTION("INDEX(SPLIT(A783, ""/""), 0, 2)"),"regex")</f>
        <v>regex</v>
      </c>
      <c r="J783" s="2" t="b">
        <f t="shared" si="1"/>
        <v>1</v>
      </c>
    </row>
    <row r="784">
      <c r="A784" s="1" t="s">
        <v>138</v>
      </c>
      <c r="B784" s="3">
        <v>21993.0</v>
      </c>
      <c r="C784" s="3">
        <v>60.0</v>
      </c>
      <c r="D784" s="3">
        <v>10.0</v>
      </c>
      <c r="E784" s="3">
        <v>3.0</v>
      </c>
      <c r="F784" s="3">
        <v>3.0</v>
      </c>
      <c r="G784" s="3">
        <v>4.0</v>
      </c>
      <c r="H784" s="3">
        <v>3.0</v>
      </c>
      <c r="I784" s="2" t="str">
        <f>IFERROR(__xludf.DUMMYFUNCTION("INDEX(SPLIT(A784, ""/""), 0, 2)"),"regex")</f>
        <v>regex</v>
      </c>
      <c r="J784" s="2" t="b">
        <f t="shared" si="1"/>
        <v>1</v>
      </c>
    </row>
    <row r="785">
      <c r="A785" s="1" t="s">
        <v>139</v>
      </c>
      <c r="B785" s="3">
        <v>1562.0</v>
      </c>
      <c r="C785" s="3">
        <v>60.0</v>
      </c>
      <c r="D785" s="3">
        <v>80.0</v>
      </c>
      <c r="E785" s="3">
        <v>1.0</v>
      </c>
      <c r="F785" s="3">
        <v>2.0</v>
      </c>
      <c r="G785" s="3">
        <v>15.0</v>
      </c>
      <c r="H785" s="3">
        <v>0.0</v>
      </c>
      <c r="I785" s="2" t="str">
        <f>IFERROR(__xludf.DUMMYFUNCTION("INDEX(SPLIT(A785, ""/""), 0, 2)"),"regex")</f>
        <v>regex</v>
      </c>
      <c r="J785" s="2" t="b">
        <f t="shared" si="1"/>
        <v>1</v>
      </c>
    </row>
    <row r="786">
      <c r="A786" s="1" t="s">
        <v>140</v>
      </c>
      <c r="B786" s="3">
        <v>50301.0</v>
      </c>
      <c r="C786" s="3">
        <v>60.0</v>
      </c>
      <c r="D786" s="3">
        <v>386.0</v>
      </c>
      <c r="E786" s="3">
        <v>11.0</v>
      </c>
      <c r="F786" s="3">
        <v>13.0</v>
      </c>
      <c r="G786" s="3">
        <v>16.0</v>
      </c>
      <c r="H786" s="3">
        <v>12.0</v>
      </c>
      <c r="I786" s="2" t="str">
        <f>IFERROR(__xludf.DUMMYFUNCTION("INDEX(SPLIT(A786, ""/""), 0, 2)"),"regex")</f>
        <v>regex</v>
      </c>
      <c r="J786" s="2" t="b">
        <f t="shared" si="1"/>
        <v>1</v>
      </c>
    </row>
    <row r="787">
      <c r="A787" s="1" t="s">
        <v>141</v>
      </c>
      <c r="B787" s="3">
        <v>3305.0</v>
      </c>
      <c r="C787" s="3">
        <v>60.0</v>
      </c>
      <c r="D787" s="3">
        <v>5480.0</v>
      </c>
      <c r="E787" s="3">
        <v>1.0</v>
      </c>
      <c r="F787" s="3">
        <v>5.0</v>
      </c>
      <c r="G787" s="3">
        <v>18.0</v>
      </c>
      <c r="H787" s="3">
        <v>1.0</v>
      </c>
      <c r="I787" s="2" t="str">
        <f>IFERROR(__xludf.DUMMYFUNCTION("INDEX(SPLIT(A787, ""/""), 0, 2)"),"regex")</f>
        <v>regex</v>
      </c>
      <c r="J787" s="2" t="b">
        <f t="shared" si="1"/>
        <v>1</v>
      </c>
    </row>
    <row r="788">
      <c r="A788" s="1" t="s">
        <v>142</v>
      </c>
      <c r="B788" s="3">
        <v>162.0</v>
      </c>
      <c r="C788" s="3">
        <v>60.0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2" t="str">
        <f>IFERROR(__xludf.DUMMYFUNCTION("INDEX(SPLIT(A788, ""/""), 0, 2)"),"regex")</f>
        <v>regex</v>
      </c>
      <c r="J788" s="2" t="b">
        <f t="shared" si="1"/>
        <v>0</v>
      </c>
    </row>
    <row r="789">
      <c r="A789" s="1" t="s">
        <v>143</v>
      </c>
      <c r="B789" s="3">
        <v>80002.0</v>
      </c>
      <c r="C789" s="3">
        <v>60.0</v>
      </c>
      <c r="D789" s="3" t="s">
        <v>28</v>
      </c>
      <c r="E789" s="3">
        <v>56.0</v>
      </c>
      <c r="F789" s="3">
        <v>684.0</v>
      </c>
      <c r="G789" s="3">
        <v>1536.0</v>
      </c>
      <c r="H789" s="3">
        <v>44.0</v>
      </c>
      <c r="I789" s="2" t="str">
        <f>IFERROR(__xludf.DUMMYFUNCTION("INDEX(SPLIT(A789, ""/""), 0, 2)"),"regex")</f>
        <v>regex</v>
      </c>
      <c r="J789" s="2" t="b">
        <f t="shared" si="1"/>
        <v>1</v>
      </c>
    </row>
    <row r="790">
      <c r="A790" s="1" t="s">
        <v>144</v>
      </c>
      <c r="B790" s="3">
        <v>42.0</v>
      </c>
      <c r="C790" s="3">
        <v>60.0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2" t="str">
        <f>IFERROR(__xludf.DUMMYFUNCTION("INDEX(SPLIT(A790, ""/""), 0, 2)"),"regex")</f>
        <v>regex</v>
      </c>
      <c r="J790" s="2" t="b">
        <f t="shared" si="1"/>
        <v>0</v>
      </c>
    </row>
    <row r="791">
      <c r="A791" s="1" t="s">
        <v>145</v>
      </c>
      <c r="B791" s="3">
        <v>10401.0</v>
      </c>
      <c r="C791" s="3">
        <v>60.0</v>
      </c>
      <c r="D791" s="3">
        <v>1849.0</v>
      </c>
      <c r="E791" s="3">
        <v>8.0</v>
      </c>
      <c r="F791" s="3">
        <v>35.0</v>
      </c>
      <c r="G791" s="3">
        <v>145.0</v>
      </c>
      <c r="H791" s="3">
        <v>5.0</v>
      </c>
      <c r="I791" s="2" t="str">
        <f>IFERROR(__xludf.DUMMYFUNCTION("INDEX(SPLIT(A791, ""/""), 0, 2)"),"regex")</f>
        <v>regex</v>
      </c>
      <c r="J791" s="2" t="b">
        <f t="shared" si="1"/>
        <v>1</v>
      </c>
    </row>
    <row r="792">
      <c r="A792" s="1" t="s">
        <v>146</v>
      </c>
      <c r="B792" s="3">
        <v>46.0</v>
      </c>
      <c r="C792" s="3">
        <v>60.0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2" t="str">
        <f>IFERROR(__xludf.DUMMYFUNCTION("INDEX(SPLIT(A792, ""/""), 0, 2)"),"regex")</f>
        <v>regex</v>
      </c>
      <c r="J792" s="2" t="b">
        <f t="shared" si="1"/>
        <v>0</v>
      </c>
    </row>
    <row r="793">
      <c r="A793" s="1" t="s">
        <v>147</v>
      </c>
      <c r="B793" s="3">
        <v>17.0</v>
      </c>
      <c r="C793" s="3">
        <v>60.0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2" t="str">
        <f>IFERROR(__xludf.DUMMYFUNCTION("INDEX(SPLIT(A793, ""/""), 0, 2)"),"regex")</f>
        <v>regex</v>
      </c>
      <c r="J793" s="2" t="b">
        <f t="shared" si="1"/>
        <v>0</v>
      </c>
    </row>
    <row r="794">
      <c r="A794" s="1" t="s">
        <v>148</v>
      </c>
      <c r="B794" s="3">
        <v>286.0</v>
      </c>
      <c r="C794" s="3">
        <v>60.0</v>
      </c>
      <c r="D794" s="3">
        <v>1.0</v>
      </c>
      <c r="E794" s="3">
        <v>0.0</v>
      </c>
      <c r="F794" s="3">
        <v>0.0</v>
      </c>
      <c r="G794" s="3">
        <v>1.0</v>
      </c>
      <c r="H794" s="3">
        <v>0.0</v>
      </c>
      <c r="I794" s="2" t="str">
        <f>IFERROR(__xludf.DUMMYFUNCTION("INDEX(SPLIT(A794, ""/""), 0, 2)"),"regex")</f>
        <v>regex</v>
      </c>
      <c r="J794" s="2" t="b">
        <f t="shared" si="1"/>
        <v>0</v>
      </c>
    </row>
    <row r="795">
      <c r="A795" s="1" t="s">
        <v>149</v>
      </c>
      <c r="B795" s="3">
        <v>46.0</v>
      </c>
      <c r="C795" s="3">
        <v>60.0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2" t="str">
        <f>IFERROR(__xludf.DUMMYFUNCTION("INDEX(SPLIT(A795, ""/""), 0, 2)"),"regex")</f>
        <v>regex</v>
      </c>
      <c r="J795" s="2" t="b">
        <f t="shared" si="1"/>
        <v>0</v>
      </c>
    </row>
    <row r="796">
      <c r="A796" s="1" t="s">
        <v>150</v>
      </c>
      <c r="B796" s="3">
        <v>22.0</v>
      </c>
      <c r="C796" s="3">
        <v>60.0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2" t="str">
        <f>IFERROR(__xludf.DUMMYFUNCTION("INDEX(SPLIT(A796, ""/""), 0, 2)"),"regex")</f>
        <v>regex</v>
      </c>
      <c r="J796" s="2" t="b">
        <f t="shared" si="1"/>
        <v>0</v>
      </c>
    </row>
    <row r="797">
      <c r="A797" s="1" t="s">
        <v>151</v>
      </c>
      <c r="B797" s="3">
        <v>141.0</v>
      </c>
      <c r="C797" s="3">
        <v>60.0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2" t="str">
        <f>IFERROR(__xludf.DUMMYFUNCTION("INDEX(SPLIT(A797, ""/""), 0, 2)"),"regex")</f>
        <v>regex</v>
      </c>
      <c r="J797" s="2" t="b">
        <f t="shared" si="1"/>
        <v>0</v>
      </c>
    </row>
    <row r="798">
      <c r="A798" s="1" t="s">
        <v>152</v>
      </c>
      <c r="B798" s="3">
        <v>13.0</v>
      </c>
      <c r="C798" s="3">
        <v>60.0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2" t="str">
        <f>IFERROR(__xludf.DUMMYFUNCTION("INDEX(SPLIT(A798, ""/""), 0, 2)"),"regex")</f>
        <v>regex</v>
      </c>
      <c r="J798" s="2" t="b">
        <f t="shared" si="1"/>
        <v>0</v>
      </c>
    </row>
    <row r="799">
      <c r="A799" s="1" t="s">
        <v>153</v>
      </c>
      <c r="B799" s="3">
        <v>27.0</v>
      </c>
      <c r="C799" s="3">
        <v>60.0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2" t="str">
        <f>IFERROR(__xludf.DUMMYFUNCTION("INDEX(SPLIT(A799, ""/""), 0, 2)"),"regex")</f>
        <v>regex</v>
      </c>
      <c r="J799" s="2" t="b">
        <f t="shared" si="1"/>
        <v>0</v>
      </c>
    </row>
    <row r="800">
      <c r="A800" s="1" t="s">
        <v>154</v>
      </c>
      <c r="B800" s="3">
        <v>141.0</v>
      </c>
      <c r="C800" s="3">
        <v>60.0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2" t="str">
        <f>IFERROR(__xludf.DUMMYFUNCTION("INDEX(SPLIT(A800, ""/""), 0, 2)"),"regex")</f>
        <v>regex</v>
      </c>
      <c r="J800" s="2" t="b">
        <f t="shared" si="1"/>
        <v>0</v>
      </c>
    </row>
    <row r="801">
      <c r="A801" s="1" t="s">
        <v>155</v>
      </c>
      <c r="B801" s="3">
        <v>207.0</v>
      </c>
      <c r="C801" s="3">
        <v>60.0</v>
      </c>
      <c r="D801" s="3">
        <v>1.0</v>
      </c>
      <c r="E801" s="3">
        <v>0.0</v>
      </c>
      <c r="F801" s="3">
        <v>0.0</v>
      </c>
      <c r="G801" s="3">
        <v>1.0</v>
      </c>
      <c r="H801" s="3">
        <v>0.0</v>
      </c>
      <c r="I801" s="2" t="str">
        <f>IFERROR(__xludf.DUMMYFUNCTION("INDEX(SPLIT(A801, ""/""), 0, 2)"),"regex")</f>
        <v>regex</v>
      </c>
      <c r="J801" s="2" t="b">
        <f t="shared" si="1"/>
        <v>0</v>
      </c>
    </row>
    <row r="802">
      <c r="A802" s="1" t="s">
        <v>156</v>
      </c>
      <c r="B802" s="3">
        <v>6.0</v>
      </c>
      <c r="C802" s="3">
        <v>60.0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2" t="str">
        <f>IFERROR(__xludf.DUMMYFUNCTION("INDEX(SPLIT(A802, ""/""), 0, 2)"),"regex")</f>
        <v>regex</v>
      </c>
      <c r="J802" s="2" t="b">
        <f t="shared" si="1"/>
        <v>0</v>
      </c>
    </row>
    <row r="803">
      <c r="A803" s="1" t="s">
        <v>157</v>
      </c>
      <c r="B803" s="3">
        <v>481.0</v>
      </c>
      <c r="C803" s="3">
        <v>60.0</v>
      </c>
      <c r="D803" s="3">
        <v>4.0</v>
      </c>
      <c r="E803" s="3">
        <v>0.0</v>
      </c>
      <c r="F803" s="3">
        <v>0.0</v>
      </c>
      <c r="G803" s="3">
        <v>3.0</v>
      </c>
      <c r="H803" s="3">
        <v>0.0</v>
      </c>
      <c r="I803" s="2" t="str">
        <f>IFERROR(__xludf.DUMMYFUNCTION("INDEX(SPLIT(A803, ""/""), 0, 2)"),"regex")</f>
        <v>regex</v>
      </c>
      <c r="J803" s="2" t="b">
        <f t="shared" si="1"/>
        <v>0</v>
      </c>
    </row>
    <row r="804">
      <c r="A804" s="1" t="s">
        <v>158</v>
      </c>
      <c r="B804" s="3">
        <v>2007.0</v>
      </c>
      <c r="C804" s="3">
        <v>60.0</v>
      </c>
      <c r="D804" s="3">
        <v>130.0</v>
      </c>
      <c r="E804" s="3">
        <v>1.0</v>
      </c>
      <c r="F804" s="3">
        <v>4.0</v>
      </c>
      <c r="G804" s="3">
        <v>19.0</v>
      </c>
      <c r="H804" s="3">
        <v>1.0</v>
      </c>
      <c r="I804" s="2" t="str">
        <f>IFERROR(__xludf.DUMMYFUNCTION("INDEX(SPLIT(A804, ""/""), 0, 2)"),"regex")</f>
        <v>regex</v>
      </c>
      <c r="J804" s="2" t="b">
        <f t="shared" si="1"/>
        <v>1</v>
      </c>
    </row>
    <row r="805">
      <c r="A805" s="1" t="s">
        <v>159</v>
      </c>
      <c r="B805" s="3">
        <v>7.0</v>
      </c>
      <c r="C805" s="3">
        <v>60.0</v>
      </c>
      <c r="D805" s="3">
        <v>0.0</v>
      </c>
      <c r="E805" s="3">
        <v>0.0</v>
      </c>
      <c r="F805" s="3">
        <v>0.0</v>
      </c>
      <c r="G805" s="3">
        <v>0.0</v>
      </c>
      <c r="H805" s="3">
        <v>0.0</v>
      </c>
      <c r="I805" s="2" t="str">
        <f>IFERROR(__xludf.DUMMYFUNCTION("INDEX(SPLIT(A805, ""/""), 0, 2)"),"regex")</f>
        <v>regex</v>
      </c>
      <c r="J805" s="2" t="b">
        <f t="shared" si="1"/>
        <v>0</v>
      </c>
    </row>
    <row r="806">
      <c r="A806" s="1" t="s">
        <v>160</v>
      </c>
      <c r="B806" s="3">
        <v>4.0</v>
      </c>
      <c r="C806" s="3">
        <v>60.0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2" t="str">
        <f>IFERROR(__xludf.DUMMYFUNCTION("INDEX(SPLIT(A806, ""/""), 0, 2)"),"regex")</f>
        <v>regex</v>
      </c>
      <c r="J806" s="2" t="b">
        <f t="shared" si="1"/>
        <v>0</v>
      </c>
    </row>
    <row r="807">
      <c r="A807" s="1" t="s">
        <v>161</v>
      </c>
      <c r="B807" s="3">
        <v>3.0</v>
      </c>
      <c r="C807" s="3">
        <v>60.0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2" t="str">
        <f>IFERROR(__xludf.DUMMYFUNCTION("INDEX(SPLIT(A807, ""/""), 0, 2)"),"regex")</f>
        <v>regex</v>
      </c>
      <c r="J807" s="2" t="b">
        <f t="shared" si="1"/>
        <v>0</v>
      </c>
    </row>
    <row r="808">
      <c r="A808" s="1" t="s">
        <v>162</v>
      </c>
      <c r="B808" s="3">
        <v>6.0</v>
      </c>
      <c r="C808" s="3">
        <v>60.0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2" t="str">
        <f>IFERROR(__xludf.DUMMYFUNCTION("INDEX(SPLIT(A808, ""/""), 0, 2)"),"regex")</f>
        <v>regex</v>
      </c>
      <c r="J808" s="2" t="b">
        <f t="shared" si="1"/>
        <v>0</v>
      </c>
    </row>
    <row r="809">
      <c r="A809" s="1" t="s">
        <v>163</v>
      </c>
      <c r="B809" s="3">
        <v>46391.0</v>
      </c>
      <c r="C809" s="3">
        <v>60.0</v>
      </c>
      <c r="D809" s="3">
        <v>269.0</v>
      </c>
      <c r="E809" s="3">
        <v>10.0</v>
      </c>
      <c r="F809" s="3">
        <v>10.0</v>
      </c>
      <c r="G809" s="3">
        <v>9.0</v>
      </c>
      <c r="H809" s="3">
        <v>8.0</v>
      </c>
      <c r="I809" s="2" t="str">
        <f>IFERROR(__xludf.DUMMYFUNCTION("INDEX(SPLIT(A809, ""/""), 0, 2)"),"regex")</f>
        <v>regex</v>
      </c>
      <c r="J809" s="2" t="b">
        <f t="shared" si="1"/>
        <v>1</v>
      </c>
    </row>
    <row r="810">
      <c r="A810" s="1" t="s">
        <v>164</v>
      </c>
      <c r="B810" s="3">
        <v>46406.0</v>
      </c>
      <c r="C810" s="3">
        <v>60.0</v>
      </c>
      <c r="D810" s="3">
        <v>272.0</v>
      </c>
      <c r="E810" s="3">
        <v>10.0</v>
      </c>
      <c r="F810" s="3">
        <v>10.0</v>
      </c>
      <c r="G810" s="3">
        <v>8.0</v>
      </c>
      <c r="H810" s="3">
        <v>8.0</v>
      </c>
      <c r="I810" s="2" t="str">
        <f>IFERROR(__xludf.DUMMYFUNCTION("INDEX(SPLIT(A810, ""/""), 0, 2)"),"regex")</f>
        <v>regex</v>
      </c>
      <c r="J810" s="2" t="b">
        <f t="shared" si="1"/>
        <v>1</v>
      </c>
    </row>
    <row r="811">
      <c r="A811" s="1" t="s">
        <v>165</v>
      </c>
      <c r="B811" s="3">
        <v>34.0</v>
      </c>
      <c r="C811" s="3">
        <v>60.0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2" t="str">
        <f>IFERROR(__xludf.DUMMYFUNCTION("INDEX(SPLIT(A811, ""/""), 0, 2)"),"regex")</f>
        <v>regex</v>
      </c>
      <c r="J811" s="2" t="b">
        <f t="shared" si="1"/>
        <v>0</v>
      </c>
    </row>
    <row r="812">
      <c r="A812" s="1" t="s">
        <v>166</v>
      </c>
      <c r="B812" s="3">
        <v>77535.0</v>
      </c>
      <c r="C812" s="3">
        <v>60.0</v>
      </c>
      <c r="D812" s="3">
        <v>1769.0</v>
      </c>
      <c r="E812" s="3">
        <v>411.0</v>
      </c>
      <c r="F812" s="3">
        <v>118.0</v>
      </c>
      <c r="G812" s="3">
        <v>159.0</v>
      </c>
      <c r="H812" s="3">
        <v>26.0</v>
      </c>
      <c r="I812" s="2" t="str">
        <f>IFERROR(__xludf.DUMMYFUNCTION("INDEX(SPLIT(A812, ""/""), 0, 2)"),"regex")</f>
        <v>regex</v>
      </c>
      <c r="J812" s="2" t="b">
        <f t="shared" si="1"/>
        <v>1</v>
      </c>
    </row>
    <row r="813">
      <c r="A813" s="1" t="s">
        <v>167</v>
      </c>
      <c r="B813" s="3">
        <v>46287.0</v>
      </c>
      <c r="C813" s="3">
        <v>60.0</v>
      </c>
      <c r="D813" s="3">
        <v>272.0</v>
      </c>
      <c r="E813" s="3">
        <v>11.0</v>
      </c>
      <c r="F813" s="3">
        <v>10.0</v>
      </c>
      <c r="G813" s="3">
        <v>9.0</v>
      </c>
      <c r="H813" s="3">
        <v>8.0</v>
      </c>
      <c r="I813" s="2" t="str">
        <f>IFERROR(__xludf.DUMMYFUNCTION("INDEX(SPLIT(A813, ""/""), 0, 2)"),"regex")</f>
        <v>regex</v>
      </c>
      <c r="J813" s="2" t="b">
        <f t="shared" si="1"/>
        <v>1</v>
      </c>
    </row>
    <row r="814">
      <c r="A814" s="1" t="s">
        <v>168</v>
      </c>
      <c r="B814" s="3">
        <v>289104.0</v>
      </c>
      <c r="C814" s="3">
        <v>60.0</v>
      </c>
      <c r="D814" s="3">
        <v>15554.0</v>
      </c>
      <c r="E814" s="3">
        <v>982.0</v>
      </c>
      <c r="F814" s="3">
        <v>131.0</v>
      </c>
      <c r="G814" s="3">
        <v>97.0</v>
      </c>
      <c r="H814" s="3">
        <v>66.0</v>
      </c>
      <c r="I814" s="2" t="str">
        <f>IFERROR(__xludf.DUMMYFUNCTION("INDEX(SPLIT(A814, ""/""), 0, 2)"),"regex")</f>
        <v>regex</v>
      </c>
      <c r="J814" s="2" t="b">
        <f t="shared" si="1"/>
        <v>1</v>
      </c>
    </row>
    <row r="815">
      <c r="A815" s="1" t="s">
        <v>169</v>
      </c>
      <c r="B815" s="3">
        <v>1296.0</v>
      </c>
      <c r="C815" s="3">
        <v>60.0</v>
      </c>
      <c r="D815" s="3">
        <v>1.0</v>
      </c>
      <c r="E815" s="3">
        <v>0.0</v>
      </c>
      <c r="F815" s="3">
        <v>0.0</v>
      </c>
      <c r="G815" s="3">
        <v>0.0</v>
      </c>
      <c r="H815" s="3">
        <v>0.0</v>
      </c>
      <c r="I815" s="2" t="str">
        <f>IFERROR(__xludf.DUMMYFUNCTION("INDEX(SPLIT(A815, ""/""), 0, 2)"),"regex")</f>
        <v>regex</v>
      </c>
      <c r="J815" s="2" t="b">
        <f t="shared" si="1"/>
        <v>0</v>
      </c>
    </row>
    <row r="816">
      <c r="A816" s="1" t="s">
        <v>170</v>
      </c>
      <c r="B816" s="3">
        <v>45154.0</v>
      </c>
      <c r="C816" s="3">
        <v>60.0</v>
      </c>
      <c r="D816" s="3">
        <v>255.0</v>
      </c>
      <c r="E816" s="3">
        <v>9.0</v>
      </c>
      <c r="F816" s="3">
        <v>9.0</v>
      </c>
      <c r="G816" s="3">
        <v>8.0</v>
      </c>
      <c r="H816" s="3">
        <v>7.0</v>
      </c>
      <c r="I816" s="2" t="str">
        <f>IFERROR(__xludf.DUMMYFUNCTION("INDEX(SPLIT(A816, ""/""), 0, 2)"),"regex")</f>
        <v>regex</v>
      </c>
      <c r="J816" s="2" t="b">
        <f t="shared" si="1"/>
        <v>1</v>
      </c>
    </row>
    <row r="817">
      <c r="A817" s="1" t="s">
        <v>171</v>
      </c>
      <c r="B817" s="3">
        <v>46341.0</v>
      </c>
      <c r="C817" s="3">
        <v>60.0</v>
      </c>
      <c r="D817" s="3">
        <v>270.0</v>
      </c>
      <c r="E817" s="3">
        <v>11.0</v>
      </c>
      <c r="F817" s="3">
        <v>10.0</v>
      </c>
      <c r="G817" s="3">
        <v>9.0</v>
      </c>
      <c r="H817" s="3">
        <v>8.0</v>
      </c>
      <c r="I817" s="2" t="str">
        <f>IFERROR(__xludf.DUMMYFUNCTION("INDEX(SPLIT(A817, ""/""), 0, 2)"),"regex")</f>
        <v>regex</v>
      </c>
      <c r="J817" s="2" t="b">
        <f t="shared" si="1"/>
        <v>1</v>
      </c>
    </row>
    <row r="818">
      <c r="A818" s="1" t="s">
        <v>172</v>
      </c>
      <c r="B818" s="3">
        <v>34.0</v>
      </c>
      <c r="C818" s="3">
        <v>60.0</v>
      </c>
      <c r="D818" s="3">
        <v>0.0</v>
      </c>
      <c r="E818" s="3">
        <v>0.0</v>
      </c>
      <c r="F818" s="3">
        <v>0.0</v>
      </c>
      <c r="G818" s="3">
        <v>0.0</v>
      </c>
      <c r="H818" s="3">
        <v>0.0</v>
      </c>
      <c r="I818" s="2" t="str">
        <f>IFERROR(__xludf.DUMMYFUNCTION("INDEX(SPLIT(A818, ""/""), 0, 2)"),"regex")</f>
        <v>regex</v>
      </c>
      <c r="J818" s="2" t="b">
        <f t="shared" si="1"/>
        <v>0</v>
      </c>
    </row>
    <row r="819">
      <c r="A819" s="1" t="s">
        <v>173</v>
      </c>
      <c r="B819" s="3">
        <v>301407.0</v>
      </c>
      <c r="C819" s="3">
        <v>60.0</v>
      </c>
      <c r="D819" s="3">
        <v>15985.0</v>
      </c>
      <c r="E819" s="3">
        <v>1328.0</v>
      </c>
      <c r="F819" s="3">
        <v>141.0</v>
      </c>
      <c r="G819" s="3">
        <v>103.0</v>
      </c>
      <c r="H819" s="3">
        <v>69.0</v>
      </c>
      <c r="I819" s="2" t="str">
        <f>IFERROR(__xludf.DUMMYFUNCTION("INDEX(SPLIT(A819, ""/""), 0, 2)"),"regex")</f>
        <v>regex</v>
      </c>
      <c r="J819" s="2" t="b">
        <f t="shared" si="1"/>
        <v>1</v>
      </c>
    </row>
    <row r="820">
      <c r="A820" s="1" t="s">
        <v>174</v>
      </c>
      <c r="B820" s="3">
        <v>46314.0</v>
      </c>
      <c r="C820" s="3">
        <v>60.0</v>
      </c>
      <c r="D820" s="3">
        <v>273.0</v>
      </c>
      <c r="E820" s="3">
        <v>11.0</v>
      </c>
      <c r="F820" s="3">
        <v>10.0</v>
      </c>
      <c r="G820" s="3">
        <v>9.0</v>
      </c>
      <c r="H820" s="3">
        <v>8.0</v>
      </c>
      <c r="I820" s="2" t="str">
        <f>IFERROR(__xludf.DUMMYFUNCTION("INDEX(SPLIT(A820, ""/""), 0, 2)"),"regex")</f>
        <v>regex</v>
      </c>
      <c r="J820" s="2" t="b">
        <f t="shared" si="1"/>
        <v>1</v>
      </c>
    </row>
    <row r="821">
      <c r="A821" s="1" t="s">
        <v>175</v>
      </c>
      <c r="B821" s="3">
        <v>66277.0</v>
      </c>
      <c r="C821" s="3">
        <v>60.0</v>
      </c>
      <c r="D821" s="3">
        <v>1678.0</v>
      </c>
      <c r="E821" s="3">
        <v>283.0</v>
      </c>
      <c r="F821" s="3">
        <v>101.0</v>
      </c>
      <c r="G821" s="3">
        <v>155.0</v>
      </c>
      <c r="H821" s="3">
        <v>22.0</v>
      </c>
      <c r="I821" s="2" t="str">
        <f>IFERROR(__xludf.DUMMYFUNCTION("INDEX(SPLIT(A821, ""/""), 0, 2)"),"regex")</f>
        <v>regex</v>
      </c>
      <c r="J821" s="2" t="b">
        <f t="shared" si="1"/>
        <v>1</v>
      </c>
    </row>
    <row r="822">
      <c r="A822" s="1" t="s">
        <v>176</v>
      </c>
      <c r="B822" s="3">
        <v>12.0</v>
      </c>
      <c r="C822" s="3">
        <v>60.0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2" t="str">
        <f>IFERROR(__xludf.DUMMYFUNCTION("INDEX(SPLIT(A822, ""/""), 0, 2)"),"regex")</f>
        <v>regex</v>
      </c>
      <c r="J822" s="2" t="b">
        <f t="shared" si="1"/>
        <v>0</v>
      </c>
    </row>
    <row r="823">
      <c r="A823" s="1" t="s">
        <v>177</v>
      </c>
      <c r="B823" s="3">
        <v>65775.0</v>
      </c>
      <c r="C823" s="3">
        <v>60.0</v>
      </c>
      <c r="D823" s="3">
        <v>1673.0</v>
      </c>
      <c r="E823" s="3">
        <v>271.0</v>
      </c>
      <c r="F823" s="3">
        <v>96.0</v>
      </c>
      <c r="G823" s="3">
        <v>151.0</v>
      </c>
      <c r="H823" s="3">
        <v>22.0</v>
      </c>
      <c r="I823" s="2" t="str">
        <f>IFERROR(__xludf.DUMMYFUNCTION("INDEX(SPLIT(A823, ""/""), 0, 2)"),"regex")</f>
        <v>regex</v>
      </c>
      <c r="J823" s="2" t="b">
        <f t="shared" si="1"/>
        <v>1</v>
      </c>
    </row>
    <row r="824">
      <c r="A824" s="1" t="s">
        <v>178</v>
      </c>
      <c r="B824" s="3">
        <v>288038.0</v>
      </c>
      <c r="C824" s="3">
        <v>60.0</v>
      </c>
      <c r="D824" s="3">
        <v>15485.0</v>
      </c>
      <c r="E824" s="3">
        <v>981.0</v>
      </c>
      <c r="F824" s="3">
        <v>129.0</v>
      </c>
      <c r="G824" s="3">
        <v>97.0</v>
      </c>
      <c r="H824" s="3">
        <v>66.0</v>
      </c>
      <c r="I824" s="2" t="str">
        <f>IFERROR(__xludf.DUMMYFUNCTION("INDEX(SPLIT(A824, ""/""), 0, 2)"),"regex")</f>
        <v>regex</v>
      </c>
      <c r="J824" s="2" t="b">
        <f t="shared" si="1"/>
        <v>1</v>
      </c>
    </row>
    <row r="825">
      <c r="A825" s="1" t="s">
        <v>179</v>
      </c>
      <c r="B825" s="3">
        <v>77535.0</v>
      </c>
      <c r="C825" s="3">
        <v>60.0</v>
      </c>
      <c r="D825" s="3">
        <v>1784.0</v>
      </c>
      <c r="E825" s="3">
        <v>412.0</v>
      </c>
      <c r="F825" s="3">
        <v>119.0</v>
      </c>
      <c r="G825" s="3">
        <v>172.0</v>
      </c>
      <c r="H825" s="3">
        <v>28.0</v>
      </c>
      <c r="I825" s="2" t="str">
        <f>IFERROR(__xludf.DUMMYFUNCTION("INDEX(SPLIT(A825, ""/""), 0, 2)"),"regex")</f>
        <v>regex</v>
      </c>
      <c r="J825" s="2" t="b">
        <f t="shared" si="1"/>
        <v>1</v>
      </c>
    </row>
    <row r="826">
      <c r="A826" s="1" t="s">
        <v>180</v>
      </c>
      <c r="B826" s="3">
        <v>4142.0</v>
      </c>
      <c r="C826" s="3">
        <v>60.0</v>
      </c>
      <c r="D826" s="3">
        <v>30.0</v>
      </c>
      <c r="E826" s="3">
        <v>3.0</v>
      </c>
      <c r="F826" s="3">
        <v>4.0</v>
      </c>
      <c r="G826" s="3">
        <v>11.0</v>
      </c>
      <c r="H826" s="3">
        <v>1.0</v>
      </c>
      <c r="I826" s="2" t="str">
        <f>IFERROR(__xludf.DUMMYFUNCTION("INDEX(SPLIT(A826, ""/""), 0, 2)"),"regex")</f>
        <v>regex</v>
      </c>
      <c r="J826" s="2" t="b">
        <f t="shared" si="1"/>
        <v>1</v>
      </c>
    </row>
    <row r="827">
      <c r="A827" s="1" t="s">
        <v>181</v>
      </c>
      <c r="B827" s="3">
        <v>301353.0</v>
      </c>
      <c r="C827" s="3">
        <v>60.0</v>
      </c>
      <c r="D827" s="3">
        <v>15970.0</v>
      </c>
      <c r="E827" s="3">
        <v>1330.0</v>
      </c>
      <c r="F827" s="3">
        <v>144.0</v>
      </c>
      <c r="G827" s="3">
        <v>107.0</v>
      </c>
      <c r="H827" s="3">
        <v>73.0</v>
      </c>
      <c r="I827" s="2" t="str">
        <f>IFERROR(__xludf.DUMMYFUNCTION("INDEX(SPLIT(A827, ""/""), 0, 2)"),"regex")</f>
        <v>regex</v>
      </c>
      <c r="J827" s="2" t="b">
        <f t="shared" si="1"/>
        <v>1</v>
      </c>
    </row>
    <row r="828">
      <c r="A828" s="1" t="s">
        <v>182</v>
      </c>
      <c r="B828" s="3">
        <v>613.0</v>
      </c>
      <c r="C828" s="3">
        <v>60.0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2" t="str">
        <f>IFERROR(__xludf.DUMMYFUNCTION("INDEX(SPLIT(A828, ""/""), 0, 2)"),"regex")</f>
        <v>regex</v>
      </c>
      <c r="J828" s="2" t="b">
        <f t="shared" si="1"/>
        <v>0</v>
      </c>
    </row>
    <row r="829">
      <c r="A829" s="1" t="s">
        <v>183</v>
      </c>
      <c r="B829" s="3">
        <v>66277.0</v>
      </c>
      <c r="C829" s="3">
        <v>60.0</v>
      </c>
      <c r="D829" s="3">
        <v>1670.0</v>
      </c>
      <c r="E829" s="3">
        <v>283.0</v>
      </c>
      <c r="F829" s="3">
        <v>100.0</v>
      </c>
      <c r="G829" s="3">
        <v>152.0</v>
      </c>
      <c r="H829" s="3">
        <v>22.0</v>
      </c>
      <c r="I829" s="2" t="str">
        <f>IFERROR(__xludf.DUMMYFUNCTION("INDEX(SPLIT(A829, ""/""), 0, 2)"),"regex")</f>
        <v>regex</v>
      </c>
      <c r="J829" s="2" t="b">
        <f t="shared" si="1"/>
        <v>1</v>
      </c>
    </row>
    <row r="830">
      <c r="A830" s="1" t="s">
        <v>184</v>
      </c>
      <c r="B830" s="3">
        <v>6865.0</v>
      </c>
      <c r="C830" s="3">
        <v>60.0</v>
      </c>
      <c r="D830" s="3">
        <v>39.0</v>
      </c>
      <c r="E830" s="3">
        <v>6.0</v>
      </c>
      <c r="F830" s="3">
        <v>7.0</v>
      </c>
      <c r="G830" s="3">
        <v>13.0</v>
      </c>
      <c r="H830" s="3">
        <v>2.0</v>
      </c>
      <c r="I830" s="2" t="str">
        <f>IFERROR(__xludf.DUMMYFUNCTION("INDEX(SPLIT(A830, ""/""), 0, 2)"),"regex")</f>
        <v>regex</v>
      </c>
      <c r="J830" s="2" t="b">
        <f t="shared" si="1"/>
        <v>1</v>
      </c>
    </row>
    <row r="831">
      <c r="A831" s="1" t="s">
        <v>185</v>
      </c>
      <c r="B831" s="3">
        <v>154.0</v>
      </c>
      <c r="C831" s="3">
        <v>60.0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2" t="str">
        <f>IFERROR(__xludf.DUMMYFUNCTION("INDEX(SPLIT(A831, ""/""), 0, 2)"),"regex")</f>
        <v>regex</v>
      </c>
      <c r="J831" s="2" t="b">
        <f t="shared" si="1"/>
        <v>0</v>
      </c>
    </row>
    <row r="832">
      <c r="A832" s="1" t="s">
        <v>186</v>
      </c>
      <c r="B832" s="3">
        <v>77535.0</v>
      </c>
      <c r="C832" s="3">
        <v>60.0</v>
      </c>
      <c r="D832" s="3">
        <v>1798.0</v>
      </c>
      <c r="E832" s="3">
        <v>414.0</v>
      </c>
      <c r="F832" s="3">
        <v>118.0</v>
      </c>
      <c r="G832" s="3">
        <v>162.0</v>
      </c>
      <c r="H832" s="3">
        <v>26.0</v>
      </c>
      <c r="I832" s="2" t="str">
        <f>IFERROR(__xludf.DUMMYFUNCTION("INDEX(SPLIT(A832, ""/""), 0, 2)"),"regex")</f>
        <v>regex</v>
      </c>
      <c r="J832" s="2" t="b">
        <f t="shared" si="1"/>
        <v>1</v>
      </c>
    </row>
    <row r="833">
      <c r="A833" s="1" t="s">
        <v>187</v>
      </c>
      <c r="B833" s="3">
        <v>288229.0</v>
      </c>
      <c r="C833" s="3">
        <v>60.0</v>
      </c>
      <c r="D833" s="3">
        <v>15430.0</v>
      </c>
      <c r="E833" s="3">
        <v>981.0</v>
      </c>
      <c r="F833" s="3">
        <v>132.0</v>
      </c>
      <c r="G833" s="3">
        <v>99.0</v>
      </c>
      <c r="H833" s="3">
        <v>67.0</v>
      </c>
      <c r="I833" s="2" t="str">
        <f>IFERROR(__xludf.DUMMYFUNCTION("INDEX(SPLIT(A833, ""/""), 0, 2)"),"regex")</f>
        <v>regex</v>
      </c>
      <c r="J833" s="2" t="b">
        <f t="shared" si="1"/>
        <v>1</v>
      </c>
    </row>
    <row r="834">
      <c r="A834" s="1" t="s">
        <v>188</v>
      </c>
      <c r="B834" s="3">
        <v>86.0</v>
      </c>
      <c r="C834" s="3">
        <v>60.0</v>
      </c>
      <c r="D834" s="3">
        <v>0.0</v>
      </c>
      <c r="E834" s="3">
        <v>0.0</v>
      </c>
      <c r="F834" s="3">
        <v>0.0</v>
      </c>
      <c r="G834" s="3">
        <v>0.0</v>
      </c>
      <c r="H834" s="3">
        <v>0.0</v>
      </c>
      <c r="I834" s="2" t="str">
        <f>IFERROR(__xludf.DUMMYFUNCTION("INDEX(SPLIT(A834, ""/""), 0, 2)"),"regex")</f>
        <v>regex</v>
      </c>
      <c r="J834" s="2" t="b">
        <f t="shared" si="1"/>
        <v>0</v>
      </c>
    </row>
    <row r="835">
      <c r="A835" s="1" t="s">
        <v>189</v>
      </c>
      <c r="B835" s="3">
        <v>10.0</v>
      </c>
      <c r="C835" s="3">
        <v>60.0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2" t="str">
        <f>IFERROR(__xludf.DUMMYFUNCTION("INDEX(SPLIT(A835, ""/""), 0, 2)"),"regex")</f>
        <v>regex</v>
      </c>
      <c r="J835" s="2" t="b">
        <f t="shared" si="1"/>
        <v>0</v>
      </c>
    </row>
    <row r="836">
      <c r="A836" s="1" t="s">
        <v>190</v>
      </c>
      <c r="B836" s="3">
        <v>11.0</v>
      </c>
      <c r="C836" s="3">
        <v>60.0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2" t="str">
        <f>IFERROR(__xludf.DUMMYFUNCTION("INDEX(SPLIT(A836, ""/""), 0, 2)"),"regex")</f>
        <v>regex</v>
      </c>
      <c r="J836" s="2" t="b">
        <f t="shared" si="1"/>
        <v>0</v>
      </c>
    </row>
    <row r="837">
      <c r="A837" s="1" t="s">
        <v>191</v>
      </c>
      <c r="B837" s="3">
        <v>67.0</v>
      </c>
      <c r="C837" s="3">
        <v>60.0</v>
      </c>
      <c r="D837" s="3">
        <v>0.0</v>
      </c>
      <c r="E837" s="3">
        <v>0.0</v>
      </c>
      <c r="F837" s="3">
        <v>0.0</v>
      </c>
      <c r="G837" s="3">
        <v>0.0</v>
      </c>
      <c r="H837" s="3">
        <v>0.0</v>
      </c>
      <c r="I837" s="2" t="str">
        <f>IFERROR(__xludf.DUMMYFUNCTION("INDEX(SPLIT(A837, ""/""), 0, 2)"),"regex")</f>
        <v>regex</v>
      </c>
      <c r="J837" s="2" t="b">
        <f t="shared" si="1"/>
        <v>0</v>
      </c>
    </row>
    <row r="838">
      <c r="A838" s="1" t="s">
        <v>192</v>
      </c>
      <c r="B838" s="3">
        <v>37.0</v>
      </c>
      <c r="C838" s="3">
        <v>60.0</v>
      </c>
      <c r="D838" s="3">
        <v>0.0</v>
      </c>
      <c r="E838" s="3">
        <v>0.0</v>
      </c>
      <c r="F838" s="3">
        <v>0.0</v>
      </c>
      <c r="G838" s="3">
        <v>0.0</v>
      </c>
      <c r="H838" s="3">
        <v>0.0</v>
      </c>
      <c r="I838" s="2" t="str">
        <f>IFERROR(__xludf.DUMMYFUNCTION("INDEX(SPLIT(A838, ""/""), 0, 2)"),"regex")</f>
        <v>regex</v>
      </c>
      <c r="J838" s="2" t="b">
        <f t="shared" si="1"/>
        <v>0</v>
      </c>
    </row>
    <row r="839">
      <c r="A839" s="1" t="s">
        <v>193</v>
      </c>
      <c r="B839" s="3">
        <v>22.0</v>
      </c>
      <c r="C839" s="3">
        <v>60.0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2" t="str">
        <f>IFERROR(__xludf.DUMMYFUNCTION("INDEX(SPLIT(A839, ""/""), 0, 2)"),"regex")</f>
        <v>regex</v>
      </c>
      <c r="J839" s="2" t="b">
        <f t="shared" si="1"/>
        <v>0</v>
      </c>
    </row>
    <row r="840">
      <c r="A840" s="1" t="s">
        <v>194</v>
      </c>
      <c r="B840" s="3">
        <v>12.0</v>
      </c>
      <c r="C840" s="3">
        <v>60.0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2" t="str">
        <f>IFERROR(__xludf.DUMMYFUNCTION("INDEX(SPLIT(A840, ""/""), 0, 2)"),"regex")</f>
        <v>regex</v>
      </c>
      <c r="J840" s="2" t="b">
        <f t="shared" si="1"/>
        <v>0</v>
      </c>
    </row>
    <row r="841">
      <c r="A841" s="1" t="s">
        <v>195</v>
      </c>
      <c r="B841" s="3">
        <v>25.0</v>
      </c>
      <c r="C841" s="3">
        <v>60.0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2" t="str">
        <f>IFERROR(__xludf.DUMMYFUNCTION("INDEX(SPLIT(A841, ""/""), 0, 2)"),"regex")</f>
        <v>regex</v>
      </c>
      <c r="J841" s="2" t="b">
        <f t="shared" si="1"/>
        <v>0</v>
      </c>
    </row>
    <row r="842">
      <c r="A842" s="1" t="s">
        <v>196</v>
      </c>
      <c r="B842" s="3">
        <v>44.0</v>
      </c>
      <c r="C842" s="3">
        <v>60.0</v>
      </c>
      <c r="D842" s="3">
        <v>0.0</v>
      </c>
      <c r="E842" s="3">
        <v>0.0</v>
      </c>
      <c r="F842" s="3">
        <v>0.0</v>
      </c>
      <c r="G842" s="3">
        <v>0.0</v>
      </c>
      <c r="H842" s="3">
        <v>0.0</v>
      </c>
      <c r="I842" s="2" t="str">
        <f>IFERROR(__xludf.DUMMYFUNCTION("INDEX(SPLIT(A842, ""/""), 0, 2)"),"regex")</f>
        <v>regex</v>
      </c>
      <c r="J842" s="2" t="b">
        <f t="shared" si="1"/>
        <v>0</v>
      </c>
    </row>
    <row r="843">
      <c r="A843" s="1" t="s">
        <v>197</v>
      </c>
      <c r="B843" s="3">
        <v>15.0</v>
      </c>
      <c r="C843" s="3">
        <v>60.0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2" t="str">
        <f>IFERROR(__xludf.DUMMYFUNCTION("INDEX(SPLIT(A843, ""/""), 0, 2)"),"regex")</f>
        <v>regex</v>
      </c>
      <c r="J843" s="2" t="b">
        <f t="shared" si="1"/>
        <v>0</v>
      </c>
    </row>
    <row r="844">
      <c r="A844" s="1" t="s">
        <v>198</v>
      </c>
      <c r="B844" s="3">
        <v>25.0</v>
      </c>
      <c r="C844" s="3">
        <v>60.0</v>
      </c>
      <c r="D844" s="3">
        <v>0.0</v>
      </c>
      <c r="E844" s="3">
        <v>0.0</v>
      </c>
      <c r="F844" s="3">
        <v>0.0</v>
      </c>
      <c r="G844" s="3">
        <v>0.0</v>
      </c>
      <c r="H844" s="3">
        <v>0.0</v>
      </c>
      <c r="I844" s="2" t="str">
        <f>IFERROR(__xludf.DUMMYFUNCTION("INDEX(SPLIT(A844, ""/""), 0, 2)"),"regex")</f>
        <v>regex</v>
      </c>
      <c r="J844" s="2" t="b">
        <f t="shared" si="1"/>
        <v>0</v>
      </c>
    </row>
    <row r="845">
      <c r="A845" s="1" t="s">
        <v>199</v>
      </c>
      <c r="B845" s="3">
        <v>7.0</v>
      </c>
      <c r="C845" s="3">
        <v>60.0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2" t="str">
        <f>IFERROR(__xludf.DUMMYFUNCTION("INDEX(SPLIT(A845, ""/""), 0, 2)"),"regex")</f>
        <v>regex</v>
      </c>
      <c r="J845" s="2" t="b">
        <f t="shared" si="1"/>
        <v>0</v>
      </c>
    </row>
    <row r="846">
      <c r="A846" s="1" t="s">
        <v>200</v>
      </c>
      <c r="B846" s="3">
        <v>38.0</v>
      </c>
      <c r="C846" s="3">
        <v>60.0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2" t="str">
        <f>IFERROR(__xludf.DUMMYFUNCTION("INDEX(SPLIT(A846, ""/""), 0, 2)"),"regex")</f>
        <v>regex</v>
      </c>
      <c r="J846" s="2" t="b">
        <f t="shared" si="1"/>
        <v>0</v>
      </c>
    </row>
    <row r="847">
      <c r="A847" s="1" t="s">
        <v>201</v>
      </c>
      <c r="B847" s="3">
        <v>16.0</v>
      </c>
      <c r="C847" s="3">
        <v>60.0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2" t="str">
        <f>IFERROR(__xludf.DUMMYFUNCTION("INDEX(SPLIT(A847, ""/""), 0, 2)"),"regex")</f>
        <v>regex</v>
      </c>
      <c r="J847" s="2" t="b">
        <f t="shared" si="1"/>
        <v>0</v>
      </c>
    </row>
    <row r="848">
      <c r="A848" s="1" t="s">
        <v>202</v>
      </c>
      <c r="B848" s="3">
        <v>3.0</v>
      </c>
      <c r="C848" s="3">
        <v>60.0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2" t="str">
        <f>IFERROR(__xludf.DUMMYFUNCTION("INDEX(SPLIT(A848, ""/""), 0, 2)"),"regex")</f>
        <v>regex</v>
      </c>
      <c r="J848" s="2" t="b">
        <f t="shared" si="1"/>
        <v>0</v>
      </c>
    </row>
    <row r="849">
      <c r="A849" s="1" t="s">
        <v>203</v>
      </c>
      <c r="B849" s="3">
        <v>14.0</v>
      </c>
      <c r="C849" s="3">
        <v>60.0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2" t="str">
        <f>IFERROR(__xludf.DUMMYFUNCTION("INDEX(SPLIT(A849, ""/""), 0, 2)"),"regex")</f>
        <v>regex</v>
      </c>
      <c r="J849" s="2" t="b">
        <f t="shared" si="1"/>
        <v>0</v>
      </c>
    </row>
    <row r="850">
      <c r="A850" s="1" t="s">
        <v>204</v>
      </c>
      <c r="B850" s="3">
        <v>11.0</v>
      </c>
      <c r="C850" s="3">
        <v>60.0</v>
      </c>
      <c r="D850" s="3">
        <v>0.0</v>
      </c>
      <c r="E850" s="3">
        <v>0.0</v>
      </c>
      <c r="F850" s="3">
        <v>0.0</v>
      </c>
      <c r="G850" s="3">
        <v>0.0</v>
      </c>
      <c r="H850" s="3">
        <v>0.0</v>
      </c>
      <c r="I850" s="2" t="str">
        <f>IFERROR(__xludf.DUMMYFUNCTION("INDEX(SPLIT(A850, ""/""), 0, 2)"),"regex")</f>
        <v>regex</v>
      </c>
      <c r="J850" s="2" t="b">
        <f t="shared" si="1"/>
        <v>0</v>
      </c>
    </row>
    <row r="851">
      <c r="A851" s="1" t="s">
        <v>205</v>
      </c>
      <c r="B851" s="3">
        <v>50.0</v>
      </c>
      <c r="C851" s="3">
        <v>60.0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2" t="str">
        <f>IFERROR(__xludf.DUMMYFUNCTION("INDEX(SPLIT(A851, ""/""), 0, 2)"),"regex")</f>
        <v>regex</v>
      </c>
      <c r="J851" s="2" t="b">
        <f t="shared" si="1"/>
        <v>0</v>
      </c>
    </row>
    <row r="852">
      <c r="A852" s="1" t="s">
        <v>206</v>
      </c>
      <c r="B852" s="3">
        <v>40.0</v>
      </c>
      <c r="C852" s="3">
        <v>60.0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2" t="str">
        <f>IFERROR(__xludf.DUMMYFUNCTION("INDEX(SPLIT(A852, ""/""), 0, 2)"),"regex")</f>
        <v>regex</v>
      </c>
      <c r="J852" s="2" t="b">
        <f t="shared" si="1"/>
        <v>0</v>
      </c>
    </row>
    <row r="853">
      <c r="A853" s="1" t="s">
        <v>207</v>
      </c>
      <c r="B853" s="3">
        <v>34.0</v>
      </c>
      <c r="C853" s="3">
        <v>60.0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2" t="str">
        <f>IFERROR(__xludf.DUMMYFUNCTION("INDEX(SPLIT(A853, ""/""), 0, 2)"),"regex")</f>
        <v>regex</v>
      </c>
      <c r="J853" s="2" t="b">
        <f t="shared" si="1"/>
        <v>0</v>
      </c>
    </row>
    <row r="854">
      <c r="A854" s="1" t="s">
        <v>208</v>
      </c>
      <c r="B854" s="3">
        <v>21.0</v>
      </c>
      <c r="C854" s="3">
        <v>60.0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2" t="str">
        <f>IFERROR(__xludf.DUMMYFUNCTION("INDEX(SPLIT(A854, ""/""), 0, 2)"),"regex")</f>
        <v>regex</v>
      </c>
      <c r="J854" s="2" t="b">
        <f t="shared" si="1"/>
        <v>0</v>
      </c>
    </row>
    <row r="855">
      <c r="A855" s="1" t="s">
        <v>209</v>
      </c>
      <c r="B855" s="3">
        <v>10.0</v>
      </c>
      <c r="C855" s="3">
        <v>60.0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2" t="str">
        <f>IFERROR(__xludf.DUMMYFUNCTION("INDEX(SPLIT(A855, ""/""), 0, 2)"),"regex")</f>
        <v>regex</v>
      </c>
      <c r="J855" s="2" t="b">
        <f t="shared" si="1"/>
        <v>0</v>
      </c>
    </row>
    <row r="856">
      <c r="A856" s="1" t="s">
        <v>210</v>
      </c>
      <c r="B856" s="3">
        <v>81.0</v>
      </c>
      <c r="C856" s="3">
        <v>60.0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2" t="str">
        <f>IFERROR(__xludf.DUMMYFUNCTION("INDEX(SPLIT(A856, ""/""), 0, 2)"),"regex")</f>
        <v>regex</v>
      </c>
      <c r="J856" s="2" t="b">
        <f t="shared" si="1"/>
        <v>0</v>
      </c>
    </row>
    <row r="857">
      <c r="A857" s="1" t="s">
        <v>211</v>
      </c>
      <c r="B857" s="3">
        <v>11.0</v>
      </c>
      <c r="C857" s="3">
        <v>60.0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2" t="str">
        <f>IFERROR(__xludf.DUMMYFUNCTION("INDEX(SPLIT(A857, ""/""), 0, 2)"),"regex")</f>
        <v>regex</v>
      </c>
      <c r="J857" s="2" t="b">
        <f t="shared" si="1"/>
        <v>0</v>
      </c>
    </row>
    <row r="858">
      <c r="A858" s="1" t="s">
        <v>212</v>
      </c>
      <c r="B858" s="3">
        <v>77.0</v>
      </c>
      <c r="C858" s="3">
        <v>60.0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2" t="str">
        <f>IFERROR(__xludf.DUMMYFUNCTION("INDEX(SPLIT(A858, ""/""), 0, 2)"),"regex")</f>
        <v>regex</v>
      </c>
      <c r="J858" s="2" t="b">
        <f t="shared" si="1"/>
        <v>0</v>
      </c>
    </row>
    <row r="859">
      <c r="A859" s="1" t="s">
        <v>213</v>
      </c>
      <c r="B859" s="3">
        <v>12.0</v>
      </c>
      <c r="C859" s="3">
        <v>60.0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2" t="str">
        <f>IFERROR(__xludf.DUMMYFUNCTION("INDEX(SPLIT(A859, ""/""), 0, 2)"),"regex")</f>
        <v>regex</v>
      </c>
      <c r="J859" s="2" t="b">
        <f t="shared" si="1"/>
        <v>0</v>
      </c>
    </row>
    <row r="860">
      <c r="A860" s="1" t="s">
        <v>214</v>
      </c>
      <c r="B860" s="3">
        <v>59.0</v>
      </c>
      <c r="C860" s="3">
        <v>60.0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2" t="str">
        <f>IFERROR(__xludf.DUMMYFUNCTION("INDEX(SPLIT(A860, ""/""), 0, 2)"),"regex")</f>
        <v>regex</v>
      </c>
      <c r="J860" s="2" t="b">
        <f t="shared" si="1"/>
        <v>0</v>
      </c>
    </row>
    <row r="861">
      <c r="A861" s="1" t="s">
        <v>215</v>
      </c>
      <c r="B861" s="3">
        <v>43.0</v>
      </c>
      <c r="C861" s="3">
        <v>60.0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2" t="str">
        <f>IFERROR(__xludf.DUMMYFUNCTION("INDEX(SPLIT(A861, ""/""), 0, 2)"),"regex")</f>
        <v>regex</v>
      </c>
      <c r="J861" s="2" t="b">
        <f t="shared" si="1"/>
        <v>0</v>
      </c>
    </row>
    <row r="862">
      <c r="A862" s="1" t="s">
        <v>216</v>
      </c>
      <c r="B862" s="3">
        <v>4.0</v>
      </c>
      <c r="C862" s="3">
        <v>60.0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2" t="str">
        <f>IFERROR(__xludf.DUMMYFUNCTION("INDEX(SPLIT(A862, ""/""), 0, 2)"),"regex")</f>
        <v>regex</v>
      </c>
      <c r="J862" s="2" t="b">
        <f t="shared" si="1"/>
        <v>0</v>
      </c>
    </row>
    <row r="863">
      <c r="A863" s="1" t="s">
        <v>217</v>
      </c>
      <c r="B863" s="3">
        <v>21.0</v>
      </c>
      <c r="C863" s="3">
        <v>60.0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2" t="str">
        <f>IFERROR(__xludf.DUMMYFUNCTION("INDEX(SPLIT(A863, ""/""), 0, 2)"),"regex")</f>
        <v>regex</v>
      </c>
      <c r="J863" s="2" t="b">
        <f t="shared" si="1"/>
        <v>0</v>
      </c>
    </row>
    <row r="864">
      <c r="A864" s="1" t="s">
        <v>218</v>
      </c>
      <c r="B864" s="3">
        <v>5.0</v>
      </c>
      <c r="C864" s="3">
        <v>60.0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2" t="str">
        <f>IFERROR(__xludf.DUMMYFUNCTION("INDEX(SPLIT(A864, ""/""), 0, 2)"),"regex")</f>
        <v>regex</v>
      </c>
      <c r="J864" s="2" t="b">
        <f t="shared" si="1"/>
        <v>0</v>
      </c>
    </row>
    <row r="865">
      <c r="A865" s="1" t="s">
        <v>219</v>
      </c>
      <c r="B865" s="3">
        <v>36.0</v>
      </c>
      <c r="C865" s="3">
        <v>60.0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2" t="str">
        <f>IFERROR(__xludf.DUMMYFUNCTION("INDEX(SPLIT(A865, ""/""), 0, 2)"),"regex")</f>
        <v>regex</v>
      </c>
      <c r="J865" s="2" t="b">
        <f t="shared" si="1"/>
        <v>0</v>
      </c>
    </row>
    <row r="866">
      <c r="A866" s="1" t="s">
        <v>220</v>
      </c>
      <c r="B866" s="3">
        <v>30.0</v>
      </c>
      <c r="C866" s="3">
        <v>60.0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2" t="str">
        <f>IFERROR(__xludf.DUMMYFUNCTION("INDEX(SPLIT(A866, ""/""), 0, 2)"),"regex")</f>
        <v>regex</v>
      </c>
      <c r="J866" s="2" t="b">
        <f t="shared" si="1"/>
        <v>0</v>
      </c>
    </row>
    <row r="867">
      <c r="A867" s="1" t="s">
        <v>221</v>
      </c>
      <c r="B867" s="3">
        <v>118.0</v>
      </c>
      <c r="C867" s="3">
        <v>60.0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2" t="str">
        <f>IFERROR(__xludf.DUMMYFUNCTION("INDEX(SPLIT(A867, ""/""), 0, 2)"),"regex")</f>
        <v>regex</v>
      </c>
      <c r="J867" s="2" t="b">
        <f t="shared" si="1"/>
        <v>0</v>
      </c>
    </row>
    <row r="868">
      <c r="A868" s="1" t="s">
        <v>222</v>
      </c>
      <c r="B868" s="3">
        <v>3.0</v>
      </c>
      <c r="C868" s="3">
        <v>60.0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2" t="str">
        <f>IFERROR(__xludf.DUMMYFUNCTION("INDEX(SPLIT(A868, ""/""), 0, 2)"),"regex")</f>
        <v>regex</v>
      </c>
      <c r="J868" s="2" t="b">
        <f t="shared" si="1"/>
        <v>0</v>
      </c>
    </row>
    <row r="869">
      <c r="A869" s="1" t="s">
        <v>223</v>
      </c>
      <c r="B869" s="3">
        <v>36.0</v>
      </c>
      <c r="C869" s="3">
        <v>60.0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2" t="str">
        <f>IFERROR(__xludf.DUMMYFUNCTION("INDEX(SPLIT(A869, ""/""), 0, 2)"),"regex")</f>
        <v>regex</v>
      </c>
      <c r="J869" s="2" t="b">
        <f t="shared" si="1"/>
        <v>0</v>
      </c>
    </row>
    <row r="870">
      <c r="A870" s="1" t="s">
        <v>224</v>
      </c>
      <c r="B870" s="3">
        <v>46.0</v>
      </c>
      <c r="C870" s="3">
        <v>60.0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2" t="str">
        <f>IFERROR(__xludf.DUMMYFUNCTION("INDEX(SPLIT(A870, ""/""), 0, 2)"),"regex")</f>
        <v>regex</v>
      </c>
      <c r="J870" s="2" t="b">
        <f t="shared" si="1"/>
        <v>0</v>
      </c>
    </row>
    <row r="871">
      <c r="A871" s="1" t="s">
        <v>225</v>
      </c>
      <c r="B871" s="3">
        <v>17.0</v>
      </c>
      <c r="C871" s="3">
        <v>60.0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2" t="str">
        <f>IFERROR(__xludf.DUMMYFUNCTION("INDEX(SPLIT(A871, ""/""), 0, 2)"),"regex")</f>
        <v>regex</v>
      </c>
      <c r="J871" s="2" t="b">
        <f t="shared" si="1"/>
        <v>0</v>
      </c>
    </row>
    <row r="872">
      <c r="A872" s="1" t="s">
        <v>226</v>
      </c>
      <c r="B872" s="3">
        <v>200.0</v>
      </c>
      <c r="C872" s="3">
        <v>60.0</v>
      </c>
      <c r="D872" s="3">
        <v>1.0</v>
      </c>
      <c r="E872" s="3">
        <v>0.0</v>
      </c>
      <c r="F872" s="3">
        <v>0.0</v>
      </c>
      <c r="G872" s="3">
        <v>0.0</v>
      </c>
      <c r="H872" s="3">
        <v>0.0</v>
      </c>
      <c r="I872" s="2" t="str">
        <f>IFERROR(__xludf.DUMMYFUNCTION("INDEX(SPLIT(A872, ""/""), 0, 2)"),"regex")</f>
        <v>regex</v>
      </c>
      <c r="J872" s="2" t="b">
        <f t="shared" si="1"/>
        <v>0</v>
      </c>
    </row>
    <row r="873">
      <c r="A873" s="1" t="s">
        <v>227</v>
      </c>
      <c r="B873" s="3">
        <v>14.0</v>
      </c>
      <c r="C873" s="3">
        <v>60.0</v>
      </c>
      <c r="D873" s="3">
        <v>0.0</v>
      </c>
      <c r="E873" s="3">
        <v>0.0</v>
      </c>
      <c r="F873" s="3">
        <v>0.0</v>
      </c>
      <c r="G873" s="3">
        <v>0.0</v>
      </c>
      <c r="H873" s="3">
        <v>0.0</v>
      </c>
      <c r="I873" s="2" t="str">
        <f>IFERROR(__xludf.DUMMYFUNCTION("INDEX(SPLIT(A873, ""/""), 0, 2)"),"regex")</f>
        <v>regex</v>
      </c>
      <c r="J873" s="2" t="b">
        <f t="shared" si="1"/>
        <v>0</v>
      </c>
    </row>
    <row r="874">
      <c r="A874" s="1" t="s">
        <v>228</v>
      </c>
      <c r="B874" s="3">
        <v>35.0</v>
      </c>
      <c r="C874" s="3">
        <v>60.0</v>
      </c>
      <c r="D874" s="3">
        <v>0.0</v>
      </c>
      <c r="E874" s="3">
        <v>0.0</v>
      </c>
      <c r="F874" s="3">
        <v>0.0</v>
      </c>
      <c r="G874" s="3">
        <v>0.0</v>
      </c>
      <c r="H874" s="3">
        <v>0.0</v>
      </c>
      <c r="I874" s="2" t="str">
        <f>IFERROR(__xludf.DUMMYFUNCTION("INDEX(SPLIT(A874, ""/""), 0, 2)"),"regex")</f>
        <v>regex</v>
      </c>
      <c r="J874" s="2" t="b">
        <f t="shared" si="1"/>
        <v>0</v>
      </c>
    </row>
    <row r="875">
      <c r="A875" s="1" t="s">
        <v>229</v>
      </c>
      <c r="B875" s="3">
        <v>63.0</v>
      </c>
      <c r="C875" s="3">
        <v>60.0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2" t="str">
        <f>IFERROR(__xludf.DUMMYFUNCTION("INDEX(SPLIT(A875, ""/""), 0, 2)"),"regex")</f>
        <v>regex</v>
      </c>
      <c r="J875" s="2" t="b">
        <f t="shared" si="1"/>
        <v>0</v>
      </c>
    </row>
    <row r="876">
      <c r="A876" s="1" t="s">
        <v>230</v>
      </c>
      <c r="B876" s="3">
        <v>7.0</v>
      </c>
      <c r="C876" s="3">
        <v>60.0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  <c r="I876" s="2" t="str">
        <f>IFERROR(__xludf.DUMMYFUNCTION("INDEX(SPLIT(A876, ""/""), 0, 2)"),"regex")</f>
        <v>regex</v>
      </c>
      <c r="J876" s="2" t="b">
        <f t="shared" si="1"/>
        <v>0</v>
      </c>
    </row>
    <row r="877">
      <c r="A877" s="1" t="s">
        <v>231</v>
      </c>
      <c r="B877" s="3">
        <v>19.0</v>
      </c>
      <c r="C877" s="3">
        <v>60.0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2" t="str">
        <f>IFERROR(__xludf.DUMMYFUNCTION("INDEX(SPLIT(A877, ""/""), 0, 2)"),"regex")</f>
        <v>regex</v>
      </c>
      <c r="J877" s="2" t="b">
        <f t="shared" si="1"/>
        <v>0</v>
      </c>
    </row>
    <row r="878">
      <c r="A878" s="1" t="s">
        <v>232</v>
      </c>
      <c r="B878" s="3">
        <v>5.0</v>
      </c>
      <c r="C878" s="3">
        <v>60.0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2" t="str">
        <f>IFERROR(__xludf.DUMMYFUNCTION("INDEX(SPLIT(A878, ""/""), 0, 2)"),"regex")</f>
        <v>regex</v>
      </c>
      <c r="J878" s="2" t="b">
        <f t="shared" si="1"/>
        <v>0</v>
      </c>
    </row>
    <row r="879">
      <c r="A879" s="1" t="s">
        <v>233</v>
      </c>
      <c r="B879" s="3">
        <v>15.0</v>
      </c>
      <c r="C879" s="3">
        <v>60.0</v>
      </c>
      <c r="D879" s="3">
        <v>0.0</v>
      </c>
      <c r="E879" s="3">
        <v>0.0</v>
      </c>
      <c r="F879" s="3">
        <v>0.0</v>
      </c>
      <c r="G879" s="3">
        <v>0.0</v>
      </c>
      <c r="H879" s="3">
        <v>0.0</v>
      </c>
      <c r="I879" s="2" t="str">
        <f>IFERROR(__xludf.DUMMYFUNCTION("INDEX(SPLIT(A879, ""/""), 0, 2)"),"regex")</f>
        <v>regex</v>
      </c>
      <c r="J879" s="2" t="b">
        <f t="shared" si="1"/>
        <v>0</v>
      </c>
    </row>
    <row r="880">
      <c r="A880" s="1" t="s">
        <v>234</v>
      </c>
      <c r="B880" s="3">
        <v>71.0</v>
      </c>
      <c r="C880" s="3">
        <v>60.0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2" t="str">
        <f>IFERROR(__xludf.DUMMYFUNCTION("INDEX(SPLIT(A880, ""/""), 0, 2)"),"regex")</f>
        <v>regex</v>
      </c>
      <c r="J880" s="2" t="b">
        <f t="shared" si="1"/>
        <v>0</v>
      </c>
    </row>
    <row r="881">
      <c r="A881" s="1" t="s">
        <v>235</v>
      </c>
      <c r="B881" s="3">
        <v>101.0</v>
      </c>
      <c r="C881" s="3">
        <v>60.0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2" t="str">
        <f>IFERROR(__xludf.DUMMYFUNCTION("INDEX(SPLIT(A881, ""/""), 0, 2)"),"regex")</f>
        <v>regex</v>
      </c>
      <c r="J881" s="2" t="b">
        <f t="shared" si="1"/>
        <v>0</v>
      </c>
    </row>
    <row r="882">
      <c r="A882" s="1" t="s">
        <v>236</v>
      </c>
      <c r="B882" s="3">
        <v>106.0</v>
      </c>
      <c r="C882" s="3">
        <v>60.0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2" t="str">
        <f>IFERROR(__xludf.DUMMYFUNCTION("INDEX(SPLIT(A882, ""/""), 0, 2)"),"regex")</f>
        <v>regex</v>
      </c>
      <c r="J882" s="2" t="b">
        <f t="shared" si="1"/>
        <v>0</v>
      </c>
    </row>
    <row r="883">
      <c r="A883" s="1" t="s">
        <v>237</v>
      </c>
      <c r="B883" s="3">
        <v>8.0</v>
      </c>
      <c r="C883" s="3">
        <v>60.0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  <c r="I883" s="2" t="str">
        <f>IFERROR(__xludf.DUMMYFUNCTION("INDEX(SPLIT(A883, ""/""), 0, 2)"),"regex")</f>
        <v>regex</v>
      </c>
      <c r="J883" s="2" t="b">
        <f t="shared" si="1"/>
        <v>0</v>
      </c>
    </row>
    <row r="884">
      <c r="A884" s="1" t="s">
        <v>238</v>
      </c>
      <c r="B884" s="3">
        <v>7.0</v>
      </c>
      <c r="C884" s="3">
        <v>60.0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  <c r="I884" s="2" t="str">
        <f>IFERROR(__xludf.DUMMYFUNCTION("INDEX(SPLIT(A884, ""/""), 0, 2)"),"regex")</f>
        <v>regex</v>
      </c>
      <c r="J884" s="2" t="b">
        <f t="shared" si="1"/>
        <v>0</v>
      </c>
    </row>
    <row r="885">
      <c r="A885" s="1" t="s">
        <v>239</v>
      </c>
      <c r="B885" s="3">
        <v>26.0</v>
      </c>
      <c r="C885" s="3">
        <v>60.0</v>
      </c>
      <c r="D885" s="3">
        <v>0.0</v>
      </c>
      <c r="E885" s="3">
        <v>0.0</v>
      </c>
      <c r="F885" s="3">
        <v>0.0</v>
      </c>
      <c r="G885" s="3">
        <v>0.0</v>
      </c>
      <c r="H885" s="3">
        <v>0.0</v>
      </c>
      <c r="I885" s="2" t="str">
        <f>IFERROR(__xludf.DUMMYFUNCTION("INDEX(SPLIT(A885, ""/""), 0, 2)"),"regex")</f>
        <v>regex</v>
      </c>
      <c r="J885" s="2" t="b">
        <f t="shared" si="1"/>
        <v>0</v>
      </c>
    </row>
    <row r="886">
      <c r="A886" s="1" t="s">
        <v>240</v>
      </c>
      <c r="B886" s="3">
        <v>70.0</v>
      </c>
      <c r="C886" s="3">
        <v>60.0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  <c r="I886" s="2" t="str">
        <f>IFERROR(__xludf.DUMMYFUNCTION("INDEX(SPLIT(A886, ""/""), 0, 2)"),"regex")</f>
        <v>regex</v>
      </c>
      <c r="J886" s="2" t="b">
        <f t="shared" si="1"/>
        <v>0</v>
      </c>
    </row>
    <row r="887">
      <c r="A887" s="1" t="s">
        <v>241</v>
      </c>
      <c r="B887" s="3">
        <v>15.0</v>
      </c>
      <c r="C887" s="3">
        <v>60.0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2" t="str">
        <f>IFERROR(__xludf.DUMMYFUNCTION("INDEX(SPLIT(A887, ""/""), 0, 2)"),"regex")</f>
        <v>regex</v>
      </c>
      <c r="J887" s="2" t="b">
        <f t="shared" si="1"/>
        <v>0</v>
      </c>
    </row>
    <row r="888">
      <c r="A888" s="1" t="s">
        <v>242</v>
      </c>
      <c r="B888" s="3">
        <v>10.0</v>
      </c>
      <c r="C888" s="3">
        <v>60.0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2" t="str">
        <f>IFERROR(__xludf.DUMMYFUNCTION("INDEX(SPLIT(A888, ""/""), 0, 2)"),"regex")</f>
        <v>regex</v>
      </c>
      <c r="J888" s="2" t="b">
        <f t="shared" si="1"/>
        <v>0</v>
      </c>
    </row>
    <row r="889">
      <c r="A889" s="1" t="s">
        <v>243</v>
      </c>
      <c r="B889" s="3">
        <v>40.0</v>
      </c>
      <c r="C889" s="3">
        <v>60.0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2" t="str">
        <f>IFERROR(__xludf.DUMMYFUNCTION("INDEX(SPLIT(A889, ""/""), 0, 2)"),"regex")</f>
        <v>regex</v>
      </c>
      <c r="J889" s="2" t="b">
        <f t="shared" si="1"/>
        <v>0</v>
      </c>
    </row>
    <row r="890">
      <c r="A890" s="1" t="s">
        <v>244</v>
      </c>
      <c r="B890" s="3">
        <v>40.0</v>
      </c>
      <c r="C890" s="3">
        <v>60.0</v>
      </c>
      <c r="D890" s="3">
        <v>0.0</v>
      </c>
      <c r="E890" s="3">
        <v>0.0</v>
      </c>
      <c r="F890" s="3">
        <v>0.0</v>
      </c>
      <c r="G890" s="3">
        <v>0.0</v>
      </c>
      <c r="H890" s="3">
        <v>0.0</v>
      </c>
      <c r="I890" s="2" t="str">
        <f>IFERROR(__xludf.DUMMYFUNCTION("INDEX(SPLIT(A890, ""/""), 0, 2)"),"regex")</f>
        <v>regex</v>
      </c>
      <c r="J890" s="2" t="b">
        <f t="shared" si="1"/>
        <v>0</v>
      </c>
    </row>
    <row r="891">
      <c r="A891" s="1" t="s">
        <v>245</v>
      </c>
      <c r="B891" s="3">
        <v>13.0</v>
      </c>
      <c r="C891" s="3">
        <v>60.0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2" t="str">
        <f>IFERROR(__xludf.DUMMYFUNCTION("INDEX(SPLIT(A891, ""/""), 0, 2)"),"regex")</f>
        <v>regex</v>
      </c>
      <c r="J891" s="2" t="b">
        <f t="shared" si="1"/>
        <v>0</v>
      </c>
    </row>
    <row r="892">
      <c r="A892" s="1" t="s">
        <v>246</v>
      </c>
      <c r="B892" s="3">
        <v>11.0</v>
      </c>
      <c r="C892" s="3">
        <v>60.0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2" t="str">
        <f>IFERROR(__xludf.DUMMYFUNCTION("INDEX(SPLIT(A892, ""/""), 0, 2)"),"regex")</f>
        <v>regex</v>
      </c>
      <c r="J892" s="2" t="b">
        <f t="shared" si="1"/>
        <v>0</v>
      </c>
    </row>
    <row r="893">
      <c r="A893" s="1" t="s">
        <v>247</v>
      </c>
      <c r="B893" s="3">
        <v>17.0</v>
      </c>
      <c r="C893" s="3">
        <v>60.0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2" t="str">
        <f>IFERROR(__xludf.DUMMYFUNCTION("INDEX(SPLIT(A893, ""/""), 0, 2)"),"regex")</f>
        <v>regex</v>
      </c>
      <c r="J893" s="2" t="b">
        <f t="shared" si="1"/>
        <v>0</v>
      </c>
    </row>
    <row r="894">
      <c r="A894" s="1" t="s">
        <v>248</v>
      </c>
      <c r="B894" s="3">
        <v>13.0</v>
      </c>
      <c r="C894" s="3">
        <v>60.0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2" t="str">
        <f>IFERROR(__xludf.DUMMYFUNCTION("INDEX(SPLIT(A894, ""/""), 0, 2)"),"regex")</f>
        <v>regex</v>
      </c>
      <c r="J894" s="2" t="b">
        <f t="shared" si="1"/>
        <v>0</v>
      </c>
    </row>
    <row r="895">
      <c r="A895" s="1" t="s">
        <v>249</v>
      </c>
      <c r="B895" s="3">
        <v>18.0</v>
      </c>
      <c r="C895" s="3">
        <v>60.0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2" t="str">
        <f>IFERROR(__xludf.DUMMYFUNCTION("INDEX(SPLIT(A895, ""/""), 0, 2)"),"regex")</f>
        <v>regex</v>
      </c>
      <c r="J895" s="2" t="b">
        <f t="shared" si="1"/>
        <v>0</v>
      </c>
    </row>
    <row r="896">
      <c r="A896" s="1" t="s">
        <v>250</v>
      </c>
      <c r="B896" s="3">
        <v>329.0</v>
      </c>
      <c r="C896" s="3">
        <v>60.0</v>
      </c>
      <c r="D896" s="3">
        <v>2.0</v>
      </c>
      <c r="E896" s="3">
        <v>0.0</v>
      </c>
      <c r="F896" s="3">
        <v>0.0</v>
      </c>
      <c r="G896" s="3">
        <v>1.0</v>
      </c>
      <c r="H896" s="3">
        <v>0.0</v>
      </c>
      <c r="I896" s="2" t="str">
        <f>IFERROR(__xludf.DUMMYFUNCTION("INDEX(SPLIT(A896, ""/""), 0, 2)"),"regex")</f>
        <v>regex</v>
      </c>
      <c r="J896" s="2" t="b">
        <f t="shared" si="1"/>
        <v>0</v>
      </c>
    </row>
    <row r="897">
      <c r="A897" s="1" t="s">
        <v>251</v>
      </c>
      <c r="B897" s="3">
        <v>70.0</v>
      </c>
      <c r="C897" s="3">
        <v>60.0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  <c r="I897" s="2" t="str">
        <f>IFERROR(__xludf.DUMMYFUNCTION("INDEX(SPLIT(A897, ""/""), 0, 2)"),"regex")</f>
        <v>regex</v>
      </c>
      <c r="J897" s="2" t="b">
        <f t="shared" si="1"/>
        <v>0</v>
      </c>
    </row>
    <row r="898">
      <c r="A898" s="1" t="s">
        <v>252</v>
      </c>
      <c r="B898" s="3">
        <v>49.0</v>
      </c>
      <c r="C898" s="3">
        <v>60.0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2" t="str">
        <f>IFERROR(__xludf.DUMMYFUNCTION("INDEX(SPLIT(A898, ""/""), 0, 2)"),"regex")</f>
        <v>regex</v>
      </c>
      <c r="J898" s="2" t="b">
        <f t="shared" si="1"/>
        <v>0</v>
      </c>
    </row>
    <row r="899">
      <c r="A899" s="1" t="s">
        <v>253</v>
      </c>
      <c r="B899" s="3">
        <v>48.0</v>
      </c>
      <c r="C899" s="3">
        <v>60.0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2" t="str">
        <f>IFERROR(__xludf.DUMMYFUNCTION("INDEX(SPLIT(A899, ""/""), 0, 2)"),"regex")</f>
        <v>regex</v>
      </c>
      <c r="J899" s="2" t="b">
        <f t="shared" si="1"/>
        <v>0</v>
      </c>
    </row>
    <row r="900">
      <c r="A900" s="1" t="s">
        <v>254</v>
      </c>
      <c r="B900" s="3">
        <v>37.0</v>
      </c>
      <c r="C900" s="3">
        <v>60.0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2" t="str">
        <f>IFERROR(__xludf.DUMMYFUNCTION("INDEX(SPLIT(A900, ""/""), 0, 2)"),"regex")</f>
        <v>regex</v>
      </c>
      <c r="J900" s="2" t="b">
        <f t="shared" si="1"/>
        <v>0</v>
      </c>
    </row>
    <row r="901">
      <c r="A901" s="1" t="s">
        <v>255</v>
      </c>
      <c r="B901" s="3">
        <v>4.0</v>
      </c>
      <c r="C901" s="3">
        <v>60.0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2" t="str">
        <f>IFERROR(__xludf.DUMMYFUNCTION("INDEX(SPLIT(A901, ""/""), 0, 2)"),"regex")</f>
        <v>regex</v>
      </c>
      <c r="J901" s="2" t="b">
        <f t="shared" si="1"/>
        <v>0</v>
      </c>
    </row>
    <row r="902">
      <c r="A902" s="1" t="s">
        <v>256</v>
      </c>
      <c r="B902" s="3">
        <v>69.0</v>
      </c>
      <c r="C902" s="3">
        <v>60.0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2" t="str">
        <f>IFERROR(__xludf.DUMMYFUNCTION("INDEX(SPLIT(A902, ""/""), 0, 2)"),"regex")</f>
        <v>regex</v>
      </c>
      <c r="J902" s="2" t="b">
        <f t="shared" si="1"/>
        <v>0</v>
      </c>
    </row>
    <row r="903">
      <c r="A903" s="1" t="s">
        <v>257</v>
      </c>
      <c r="B903" s="3">
        <v>5.0</v>
      </c>
      <c r="C903" s="3">
        <v>60.0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2" t="str">
        <f>IFERROR(__xludf.DUMMYFUNCTION("INDEX(SPLIT(A903, ""/""), 0, 2)"),"regex")</f>
        <v>regex</v>
      </c>
      <c r="J903" s="2" t="b">
        <f t="shared" si="1"/>
        <v>0</v>
      </c>
    </row>
    <row r="904">
      <c r="A904" s="1" t="s">
        <v>258</v>
      </c>
      <c r="B904" s="3">
        <v>41.0</v>
      </c>
      <c r="C904" s="3">
        <v>60.0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2" t="str">
        <f>IFERROR(__xludf.DUMMYFUNCTION("INDEX(SPLIT(A904, ""/""), 0, 2)"),"regex")</f>
        <v>regex</v>
      </c>
      <c r="J904" s="2" t="b">
        <f t="shared" si="1"/>
        <v>0</v>
      </c>
    </row>
    <row r="905">
      <c r="A905" s="1" t="s">
        <v>259</v>
      </c>
      <c r="B905" s="3">
        <v>6.0</v>
      </c>
      <c r="C905" s="3">
        <v>60.0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2" t="str">
        <f>IFERROR(__xludf.DUMMYFUNCTION("INDEX(SPLIT(A905, ""/""), 0, 2)"),"regex")</f>
        <v>regex</v>
      </c>
      <c r="J905" s="2" t="b">
        <f t="shared" si="1"/>
        <v>0</v>
      </c>
    </row>
    <row r="906">
      <c r="A906" s="1" t="s">
        <v>260</v>
      </c>
      <c r="B906" s="3">
        <v>12.0</v>
      </c>
      <c r="C906" s="3">
        <v>60.0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2" t="str">
        <f>IFERROR(__xludf.DUMMYFUNCTION("INDEX(SPLIT(A906, ""/""), 0, 2)"),"regex")</f>
        <v>regex</v>
      </c>
      <c r="J906" s="2" t="b">
        <f t="shared" si="1"/>
        <v>0</v>
      </c>
    </row>
    <row r="907">
      <c r="A907" s="1" t="s">
        <v>261</v>
      </c>
      <c r="B907" s="3">
        <v>30.0</v>
      </c>
      <c r="C907" s="3">
        <v>60.0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2" t="str">
        <f>IFERROR(__xludf.DUMMYFUNCTION("INDEX(SPLIT(A907, ""/""), 0, 2)"),"regex")</f>
        <v>regex</v>
      </c>
      <c r="J907" s="2" t="b">
        <f t="shared" si="1"/>
        <v>0</v>
      </c>
    </row>
    <row r="908">
      <c r="A908" s="1" t="s">
        <v>262</v>
      </c>
      <c r="B908" s="3">
        <v>29.0</v>
      </c>
      <c r="C908" s="3">
        <v>60.0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2" t="str">
        <f>IFERROR(__xludf.DUMMYFUNCTION("INDEX(SPLIT(A908, ""/""), 0, 2)"),"regex")</f>
        <v>regex</v>
      </c>
      <c r="J908" s="2" t="b">
        <f t="shared" si="1"/>
        <v>0</v>
      </c>
    </row>
    <row r="909">
      <c r="A909" s="1" t="s">
        <v>263</v>
      </c>
      <c r="B909" s="3">
        <v>39.0</v>
      </c>
      <c r="C909" s="3">
        <v>60.0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2" t="str">
        <f>IFERROR(__xludf.DUMMYFUNCTION("INDEX(SPLIT(A909, ""/""), 0, 2)"),"regex")</f>
        <v>regex</v>
      </c>
      <c r="J909" s="2" t="b">
        <f t="shared" si="1"/>
        <v>0</v>
      </c>
    </row>
    <row r="910">
      <c r="A910" s="1" t="s">
        <v>264</v>
      </c>
      <c r="B910" s="3">
        <v>29.0</v>
      </c>
      <c r="C910" s="3">
        <v>60.0</v>
      </c>
      <c r="D910" s="3">
        <v>0.0</v>
      </c>
      <c r="E910" s="3">
        <v>0.0</v>
      </c>
      <c r="F910" s="3">
        <v>0.0</v>
      </c>
      <c r="G910" s="3">
        <v>0.0</v>
      </c>
      <c r="H910" s="3">
        <v>0.0</v>
      </c>
      <c r="I910" s="2" t="str">
        <f>IFERROR(__xludf.DUMMYFUNCTION("INDEX(SPLIT(A910, ""/""), 0, 2)"),"regex")</f>
        <v>regex</v>
      </c>
      <c r="J910" s="2" t="b">
        <f t="shared" si="1"/>
        <v>0</v>
      </c>
    </row>
    <row r="911">
      <c r="A911" s="1" t="s">
        <v>265</v>
      </c>
      <c r="B911" s="3">
        <v>18.0</v>
      </c>
      <c r="C911" s="3">
        <v>60.0</v>
      </c>
      <c r="D911" s="3">
        <v>0.0</v>
      </c>
      <c r="E911" s="3">
        <v>0.0</v>
      </c>
      <c r="F911" s="3">
        <v>0.0</v>
      </c>
      <c r="G911" s="3">
        <v>0.0</v>
      </c>
      <c r="H911" s="3">
        <v>0.0</v>
      </c>
      <c r="I911" s="2" t="str">
        <f>IFERROR(__xludf.DUMMYFUNCTION("INDEX(SPLIT(A911, ""/""), 0, 2)"),"regex")</f>
        <v>regex</v>
      </c>
      <c r="J911" s="2" t="b">
        <f t="shared" si="1"/>
        <v>0</v>
      </c>
    </row>
    <row r="912">
      <c r="A912" s="1" t="s">
        <v>266</v>
      </c>
      <c r="B912" s="3">
        <v>15.0</v>
      </c>
      <c r="C912" s="3">
        <v>60.0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  <c r="I912" s="2" t="str">
        <f>IFERROR(__xludf.DUMMYFUNCTION("INDEX(SPLIT(A912, ""/""), 0, 2)"),"regex")</f>
        <v>regex</v>
      </c>
      <c r="J912" s="2" t="b">
        <f t="shared" si="1"/>
        <v>0</v>
      </c>
    </row>
    <row r="913">
      <c r="A913" s="1" t="s">
        <v>267</v>
      </c>
      <c r="B913" s="3">
        <v>125.0</v>
      </c>
      <c r="C913" s="3">
        <v>60.0</v>
      </c>
      <c r="D913" s="3">
        <v>0.0</v>
      </c>
      <c r="E913" s="3">
        <v>0.0</v>
      </c>
      <c r="F913" s="3">
        <v>0.0</v>
      </c>
      <c r="G913" s="3">
        <v>0.0</v>
      </c>
      <c r="H913" s="3">
        <v>0.0</v>
      </c>
      <c r="I913" s="2" t="str">
        <f>IFERROR(__xludf.DUMMYFUNCTION("INDEX(SPLIT(A913, ""/""), 0, 2)"),"regex")</f>
        <v>regex</v>
      </c>
      <c r="J913" s="2" t="b">
        <f t="shared" si="1"/>
        <v>0</v>
      </c>
    </row>
    <row r="914">
      <c r="A914" s="1" t="s">
        <v>268</v>
      </c>
      <c r="B914" s="3">
        <v>617.0</v>
      </c>
      <c r="C914" s="3">
        <v>60.0</v>
      </c>
      <c r="D914" s="3">
        <v>5.0</v>
      </c>
      <c r="E914" s="3">
        <v>0.0</v>
      </c>
      <c r="F914" s="3">
        <v>0.0</v>
      </c>
      <c r="G914" s="3">
        <v>1.0</v>
      </c>
      <c r="H914" s="3">
        <v>0.0</v>
      </c>
      <c r="I914" s="2" t="str">
        <f>IFERROR(__xludf.DUMMYFUNCTION("INDEX(SPLIT(A914, ""/""), 0, 2)"),"regex")</f>
        <v>regex</v>
      </c>
      <c r="J914" s="2" t="b">
        <f t="shared" si="1"/>
        <v>0</v>
      </c>
    </row>
    <row r="915">
      <c r="A915" s="1" t="s">
        <v>269</v>
      </c>
      <c r="B915" s="3">
        <v>25.0</v>
      </c>
      <c r="C915" s="3">
        <v>60.0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2" t="str">
        <f>IFERROR(__xludf.DUMMYFUNCTION("INDEX(SPLIT(A915, ""/""), 0, 2)"),"regex")</f>
        <v>regex</v>
      </c>
      <c r="J915" s="2" t="b">
        <f t="shared" si="1"/>
        <v>0</v>
      </c>
    </row>
    <row r="916">
      <c r="A916" s="1" t="s">
        <v>270</v>
      </c>
      <c r="B916" s="3">
        <v>22.0</v>
      </c>
      <c r="C916" s="3">
        <v>60.0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2" t="str">
        <f>IFERROR(__xludf.DUMMYFUNCTION("INDEX(SPLIT(A916, ""/""), 0, 2)"),"regex")</f>
        <v>regex</v>
      </c>
      <c r="J916" s="2" t="b">
        <f t="shared" si="1"/>
        <v>0</v>
      </c>
    </row>
    <row r="917">
      <c r="A917" s="1" t="s">
        <v>271</v>
      </c>
      <c r="B917" s="3">
        <v>166.0</v>
      </c>
      <c r="C917" s="3">
        <v>60.0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2" t="str">
        <f>IFERROR(__xludf.DUMMYFUNCTION("INDEX(SPLIT(A917, ""/""), 0, 2)"),"regex")</f>
        <v>regex</v>
      </c>
      <c r="J917" s="2" t="b">
        <f t="shared" si="1"/>
        <v>0</v>
      </c>
    </row>
    <row r="918">
      <c r="A918" s="1" t="s">
        <v>272</v>
      </c>
      <c r="B918" s="3">
        <v>45.0</v>
      </c>
      <c r="C918" s="3">
        <v>60.0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2" t="str">
        <f>IFERROR(__xludf.DUMMYFUNCTION("INDEX(SPLIT(A918, ""/""), 0, 2)"),"regex")</f>
        <v>regex</v>
      </c>
      <c r="J918" s="2" t="b">
        <f t="shared" si="1"/>
        <v>0</v>
      </c>
    </row>
    <row r="919">
      <c r="A919" s="1" t="s">
        <v>273</v>
      </c>
      <c r="B919" s="3">
        <v>20.0</v>
      </c>
      <c r="C919" s="3">
        <v>60.0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2" t="str">
        <f>IFERROR(__xludf.DUMMYFUNCTION("INDEX(SPLIT(A919, ""/""), 0, 2)"),"regex")</f>
        <v>regex</v>
      </c>
      <c r="J919" s="2" t="b">
        <f t="shared" si="1"/>
        <v>0</v>
      </c>
    </row>
    <row r="920">
      <c r="A920" s="1" t="s">
        <v>274</v>
      </c>
      <c r="B920" s="3">
        <v>11.0</v>
      </c>
      <c r="C920" s="3">
        <v>60.0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2" t="str">
        <f>IFERROR(__xludf.DUMMYFUNCTION("INDEX(SPLIT(A920, ""/""), 0, 2)"),"regex")</f>
        <v>regex</v>
      </c>
      <c r="J920" s="2" t="b">
        <f t="shared" si="1"/>
        <v>0</v>
      </c>
    </row>
    <row r="921">
      <c r="A921" s="1" t="s">
        <v>275</v>
      </c>
      <c r="B921" s="3">
        <v>20.0</v>
      </c>
      <c r="C921" s="3">
        <v>60.0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2" t="str">
        <f>IFERROR(__xludf.DUMMYFUNCTION("INDEX(SPLIT(A921, ""/""), 0, 2)"),"regex")</f>
        <v>regex</v>
      </c>
      <c r="J921" s="2" t="b">
        <f t="shared" si="1"/>
        <v>0</v>
      </c>
    </row>
    <row r="922">
      <c r="A922" s="1" t="s">
        <v>276</v>
      </c>
      <c r="B922" s="3">
        <v>4.0</v>
      </c>
      <c r="C922" s="3">
        <v>60.0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2" t="str">
        <f>IFERROR(__xludf.DUMMYFUNCTION("INDEX(SPLIT(A922, ""/""), 0, 2)"),"regex")</f>
        <v>regex</v>
      </c>
      <c r="J922" s="2" t="b">
        <f t="shared" si="1"/>
        <v>0</v>
      </c>
    </row>
    <row r="923">
      <c r="A923" s="1" t="s">
        <v>277</v>
      </c>
      <c r="B923" s="3">
        <v>62.0</v>
      </c>
      <c r="C923" s="3">
        <v>60.0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2" t="str">
        <f>IFERROR(__xludf.DUMMYFUNCTION("INDEX(SPLIT(A923, ""/""), 0, 2)"),"regex")</f>
        <v>regex</v>
      </c>
      <c r="J923" s="2" t="b">
        <f t="shared" si="1"/>
        <v>0</v>
      </c>
    </row>
    <row r="924">
      <c r="A924" s="1" t="s">
        <v>278</v>
      </c>
      <c r="B924" s="3">
        <v>44.0</v>
      </c>
      <c r="C924" s="3">
        <v>60.0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2" t="str">
        <f>IFERROR(__xludf.DUMMYFUNCTION("INDEX(SPLIT(A924, ""/""), 0, 2)"),"regex")</f>
        <v>regex</v>
      </c>
      <c r="J924" s="2" t="b">
        <f t="shared" si="1"/>
        <v>0</v>
      </c>
    </row>
    <row r="925">
      <c r="A925" s="1" t="s">
        <v>279</v>
      </c>
      <c r="B925" s="3">
        <v>6.0</v>
      </c>
      <c r="C925" s="3">
        <v>60.0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2" t="str">
        <f>IFERROR(__xludf.DUMMYFUNCTION("INDEX(SPLIT(A925, ""/""), 0, 2)"),"regex")</f>
        <v>regex</v>
      </c>
      <c r="J925" s="2" t="b">
        <f t="shared" si="1"/>
        <v>0</v>
      </c>
    </row>
    <row r="926">
      <c r="A926" s="1" t="s">
        <v>280</v>
      </c>
      <c r="B926" s="3">
        <v>50.0</v>
      </c>
      <c r="C926" s="3">
        <v>60.0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  <c r="I926" s="2" t="str">
        <f>IFERROR(__xludf.DUMMYFUNCTION("INDEX(SPLIT(A926, ""/""), 0, 2)"),"regex")</f>
        <v>regex</v>
      </c>
      <c r="J926" s="2" t="b">
        <f t="shared" si="1"/>
        <v>0</v>
      </c>
    </row>
    <row r="927">
      <c r="A927" s="1" t="s">
        <v>281</v>
      </c>
      <c r="B927" s="3">
        <v>23.0</v>
      </c>
      <c r="C927" s="3">
        <v>60.0</v>
      </c>
      <c r="D927" s="3">
        <v>0.0</v>
      </c>
      <c r="E927" s="3">
        <v>0.0</v>
      </c>
      <c r="F927" s="3">
        <v>0.0</v>
      </c>
      <c r="G927" s="3">
        <v>0.0</v>
      </c>
      <c r="H927" s="3">
        <v>0.0</v>
      </c>
      <c r="I927" s="2" t="str">
        <f>IFERROR(__xludf.DUMMYFUNCTION("INDEX(SPLIT(A927, ""/""), 0, 2)"),"regex")</f>
        <v>regex</v>
      </c>
      <c r="J927" s="2" t="b">
        <f t="shared" si="1"/>
        <v>0</v>
      </c>
    </row>
    <row r="928">
      <c r="A928" s="1" t="s">
        <v>282</v>
      </c>
      <c r="B928" s="3">
        <v>55.0</v>
      </c>
      <c r="C928" s="3">
        <v>60.0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2" t="str">
        <f>IFERROR(__xludf.DUMMYFUNCTION("INDEX(SPLIT(A928, ""/""), 0, 2)"),"regex")</f>
        <v>regex</v>
      </c>
      <c r="J928" s="2" t="b">
        <f t="shared" si="1"/>
        <v>0</v>
      </c>
    </row>
    <row r="929">
      <c r="A929" s="1" t="s">
        <v>283</v>
      </c>
      <c r="B929" s="3">
        <v>60.0</v>
      </c>
      <c r="C929" s="3">
        <v>60.0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2" t="str">
        <f>IFERROR(__xludf.DUMMYFUNCTION("INDEX(SPLIT(A929, ""/""), 0, 2)"),"regex")</f>
        <v>regex</v>
      </c>
      <c r="J929" s="2" t="b">
        <f t="shared" si="1"/>
        <v>0</v>
      </c>
    </row>
    <row r="930">
      <c r="A930" s="1" t="s">
        <v>284</v>
      </c>
      <c r="B930" s="3">
        <v>24.0</v>
      </c>
      <c r="C930" s="3">
        <v>60.0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2" t="str">
        <f>IFERROR(__xludf.DUMMYFUNCTION("INDEX(SPLIT(A930, ""/""), 0, 2)"),"regex")</f>
        <v>regex</v>
      </c>
      <c r="J930" s="2" t="b">
        <f t="shared" si="1"/>
        <v>0</v>
      </c>
    </row>
    <row r="931">
      <c r="A931" s="1" t="s">
        <v>285</v>
      </c>
      <c r="B931" s="3">
        <v>12.0</v>
      </c>
      <c r="C931" s="3">
        <v>60.0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2" t="str">
        <f>IFERROR(__xludf.DUMMYFUNCTION("INDEX(SPLIT(A931, ""/""), 0, 2)"),"regex")</f>
        <v>regex</v>
      </c>
      <c r="J931" s="2" t="b">
        <f t="shared" si="1"/>
        <v>0</v>
      </c>
    </row>
    <row r="932">
      <c r="A932" s="1" t="s">
        <v>286</v>
      </c>
      <c r="B932" s="3">
        <v>33.0</v>
      </c>
      <c r="C932" s="3">
        <v>60.0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2" t="str">
        <f>IFERROR(__xludf.DUMMYFUNCTION("INDEX(SPLIT(A932, ""/""), 0, 2)"),"regex")</f>
        <v>regex</v>
      </c>
      <c r="J932" s="2" t="b">
        <f t="shared" si="1"/>
        <v>0</v>
      </c>
    </row>
    <row r="933">
      <c r="A933" s="1" t="s">
        <v>287</v>
      </c>
      <c r="B933" s="3">
        <v>119.0</v>
      </c>
      <c r="C933" s="3">
        <v>60.0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2" t="str">
        <f>IFERROR(__xludf.DUMMYFUNCTION("INDEX(SPLIT(A933, ""/""), 0, 2)"),"regex")</f>
        <v>regex</v>
      </c>
      <c r="J933" s="2" t="b">
        <f t="shared" si="1"/>
        <v>0</v>
      </c>
    </row>
    <row r="934">
      <c r="A934" s="1" t="s">
        <v>288</v>
      </c>
      <c r="B934" s="3">
        <v>127.0</v>
      </c>
      <c r="C934" s="3">
        <v>60.0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2" t="str">
        <f>IFERROR(__xludf.DUMMYFUNCTION("INDEX(SPLIT(A934, ""/""), 0, 2)"),"regex")</f>
        <v>regex</v>
      </c>
      <c r="J934" s="2" t="b">
        <f t="shared" si="1"/>
        <v>0</v>
      </c>
    </row>
    <row r="935">
      <c r="A935" s="1" t="s">
        <v>289</v>
      </c>
      <c r="B935" s="3">
        <v>34.0</v>
      </c>
      <c r="C935" s="3">
        <v>60.0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2" t="str">
        <f>IFERROR(__xludf.DUMMYFUNCTION("INDEX(SPLIT(A935, ""/""), 0, 2)"),"regex")</f>
        <v>regex</v>
      </c>
      <c r="J935" s="2" t="b">
        <f t="shared" si="1"/>
        <v>0</v>
      </c>
    </row>
    <row r="936">
      <c r="A936" s="1" t="s">
        <v>290</v>
      </c>
      <c r="B936" s="3">
        <v>35.0</v>
      </c>
      <c r="C936" s="3">
        <v>60.0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2" t="str">
        <f>IFERROR(__xludf.DUMMYFUNCTION("INDEX(SPLIT(A936, ""/""), 0, 2)"),"regex")</f>
        <v>regex</v>
      </c>
      <c r="J936" s="2" t="b">
        <f t="shared" si="1"/>
        <v>0</v>
      </c>
    </row>
    <row r="937">
      <c r="A937" s="1" t="s">
        <v>291</v>
      </c>
      <c r="B937" s="3">
        <v>3.0</v>
      </c>
      <c r="C937" s="3">
        <v>60.0</v>
      </c>
      <c r="D937" s="3">
        <v>0.0</v>
      </c>
      <c r="E937" s="3">
        <v>0.0</v>
      </c>
      <c r="F937" s="3">
        <v>0.0</v>
      </c>
      <c r="G937" s="3">
        <v>0.0</v>
      </c>
      <c r="H937" s="3">
        <v>0.0</v>
      </c>
      <c r="I937" s="2" t="str">
        <f>IFERROR(__xludf.DUMMYFUNCTION("INDEX(SPLIT(A937, ""/""), 0, 2)"),"regex")</f>
        <v>regex</v>
      </c>
      <c r="J937" s="2" t="b">
        <f t="shared" si="1"/>
        <v>0</v>
      </c>
    </row>
    <row r="938">
      <c r="A938" s="1" t="s">
        <v>292</v>
      </c>
      <c r="B938" s="3">
        <v>129.0</v>
      </c>
      <c r="C938" s="3">
        <v>60.0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2" t="str">
        <f>IFERROR(__xludf.DUMMYFUNCTION("INDEX(SPLIT(A938, ""/""), 0, 2)"),"regex")</f>
        <v>regex</v>
      </c>
      <c r="J938" s="2" t="b">
        <f t="shared" si="1"/>
        <v>0</v>
      </c>
    </row>
    <row r="939">
      <c r="A939" s="1" t="s">
        <v>293</v>
      </c>
      <c r="B939" s="3">
        <v>53.0</v>
      </c>
      <c r="C939" s="3">
        <v>60.0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2" t="str">
        <f>IFERROR(__xludf.DUMMYFUNCTION("INDEX(SPLIT(A939, ""/""), 0, 2)"),"regex")</f>
        <v>regex</v>
      </c>
      <c r="J939" s="2" t="b">
        <f t="shared" si="1"/>
        <v>0</v>
      </c>
    </row>
    <row r="940">
      <c r="A940" s="1" t="s">
        <v>294</v>
      </c>
      <c r="B940" s="3">
        <v>85.0</v>
      </c>
      <c r="C940" s="3">
        <v>60.0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2" t="str">
        <f>IFERROR(__xludf.DUMMYFUNCTION("INDEX(SPLIT(A940, ""/""), 0, 2)"),"regex")</f>
        <v>regex</v>
      </c>
      <c r="J940" s="2" t="b">
        <f t="shared" si="1"/>
        <v>0</v>
      </c>
    </row>
    <row r="941">
      <c r="A941" s="1" t="s">
        <v>295</v>
      </c>
      <c r="B941" s="3">
        <v>14.0</v>
      </c>
      <c r="C941" s="3">
        <v>60.0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2" t="str">
        <f>IFERROR(__xludf.DUMMYFUNCTION("INDEX(SPLIT(A941, ""/""), 0, 2)"),"regex")</f>
        <v>regex</v>
      </c>
      <c r="J941" s="2" t="b">
        <f t="shared" si="1"/>
        <v>0</v>
      </c>
    </row>
    <row r="942">
      <c r="A942" s="1" t="s">
        <v>296</v>
      </c>
      <c r="B942" s="3">
        <v>57.0</v>
      </c>
      <c r="C942" s="3">
        <v>60.0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2" t="str">
        <f>IFERROR(__xludf.DUMMYFUNCTION("INDEX(SPLIT(A942, ""/""), 0, 2)"),"regex")</f>
        <v>regex</v>
      </c>
      <c r="J942" s="2" t="b">
        <f t="shared" si="1"/>
        <v>0</v>
      </c>
    </row>
    <row r="943">
      <c r="A943" s="1" t="s">
        <v>297</v>
      </c>
      <c r="B943" s="3">
        <v>24.0</v>
      </c>
      <c r="C943" s="3">
        <v>60.0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2" t="str">
        <f>IFERROR(__xludf.DUMMYFUNCTION("INDEX(SPLIT(A943, ""/""), 0, 2)"),"regex")</f>
        <v>regex</v>
      </c>
      <c r="J943" s="2" t="b">
        <f t="shared" si="1"/>
        <v>0</v>
      </c>
    </row>
    <row r="944">
      <c r="A944" s="1" t="s">
        <v>298</v>
      </c>
      <c r="B944" s="3">
        <v>24.0</v>
      </c>
      <c r="C944" s="3">
        <v>60.0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2" t="str">
        <f>IFERROR(__xludf.DUMMYFUNCTION("INDEX(SPLIT(A944, ""/""), 0, 2)"),"regex")</f>
        <v>regex</v>
      </c>
      <c r="J944" s="2" t="b">
        <f t="shared" si="1"/>
        <v>0</v>
      </c>
    </row>
    <row r="945">
      <c r="A945" s="1" t="s">
        <v>299</v>
      </c>
      <c r="B945" s="3">
        <v>52.0</v>
      </c>
      <c r="C945" s="3">
        <v>60.0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2" t="str">
        <f>IFERROR(__xludf.DUMMYFUNCTION("INDEX(SPLIT(A945, ""/""), 0, 2)"),"regex")</f>
        <v>regex</v>
      </c>
      <c r="J945" s="2" t="b">
        <f t="shared" si="1"/>
        <v>0</v>
      </c>
    </row>
    <row r="946">
      <c r="A946" s="1" t="s">
        <v>300</v>
      </c>
      <c r="B946" s="3">
        <v>42.0</v>
      </c>
      <c r="C946" s="3">
        <v>60.0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2" t="str">
        <f>IFERROR(__xludf.DUMMYFUNCTION("INDEX(SPLIT(A946, ""/""), 0, 2)"),"regex")</f>
        <v>regex</v>
      </c>
      <c r="J946" s="2" t="b">
        <f t="shared" si="1"/>
        <v>0</v>
      </c>
    </row>
    <row r="947">
      <c r="A947" s="1" t="s">
        <v>301</v>
      </c>
      <c r="B947" s="3">
        <v>38.0</v>
      </c>
      <c r="C947" s="3">
        <v>60.0</v>
      </c>
      <c r="D947" s="3">
        <v>0.0</v>
      </c>
      <c r="E947" s="3">
        <v>0.0</v>
      </c>
      <c r="F947" s="3">
        <v>0.0</v>
      </c>
      <c r="G947" s="3">
        <v>0.0</v>
      </c>
      <c r="H947" s="3">
        <v>0.0</v>
      </c>
      <c r="I947" s="2" t="str">
        <f>IFERROR(__xludf.DUMMYFUNCTION("INDEX(SPLIT(A947, ""/""), 0, 2)"),"regex")</f>
        <v>regex</v>
      </c>
      <c r="J947" s="2" t="b">
        <f t="shared" si="1"/>
        <v>0</v>
      </c>
    </row>
    <row r="948">
      <c r="A948" s="1" t="s">
        <v>302</v>
      </c>
      <c r="B948" s="3">
        <v>139.0</v>
      </c>
      <c r="C948" s="3">
        <v>60.0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2" t="str">
        <f>IFERROR(__xludf.DUMMYFUNCTION("INDEX(SPLIT(A948, ""/""), 0, 2)"),"regex")</f>
        <v>regex</v>
      </c>
      <c r="J948" s="2" t="b">
        <f t="shared" si="1"/>
        <v>0</v>
      </c>
    </row>
    <row r="949">
      <c r="A949" s="1" t="s">
        <v>303</v>
      </c>
      <c r="B949" s="3">
        <v>38.0</v>
      </c>
      <c r="C949" s="3">
        <v>60.0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2" t="str">
        <f>IFERROR(__xludf.DUMMYFUNCTION("INDEX(SPLIT(A949, ""/""), 0, 2)"),"regex")</f>
        <v>regex</v>
      </c>
      <c r="J949" s="2" t="b">
        <f t="shared" si="1"/>
        <v>0</v>
      </c>
    </row>
    <row r="950">
      <c r="A950" s="1" t="s">
        <v>304</v>
      </c>
      <c r="B950" s="3">
        <v>21.0</v>
      </c>
      <c r="C950" s="3">
        <v>60.0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2" t="str">
        <f>IFERROR(__xludf.DUMMYFUNCTION("INDEX(SPLIT(A950, ""/""), 0, 2)"),"regex")</f>
        <v>regex</v>
      </c>
      <c r="J950" s="2" t="b">
        <f t="shared" si="1"/>
        <v>0</v>
      </c>
    </row>
    <row r="951">
      <c r="A951" s="1" t="s">
        <v>305</v>
      </c>
      <c r="B951" s="3">
        <v>21.0</v>
      </c>
      <c r="C951" s="3">
        <v>60.0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2" t="str">
        <f>IFERROR(__xludf.DUMMYFUNCTION("INDEX(SPLIT(A951, ""/""), 0, 2)"),"regex")</f>
        <v>regex</v>
      </c>
      <c r="J951" s="2" t="b">
        <f t="shared" si="1"/>
        <v>0</v>
      </c>
    </row>
    <row r="952">
      <c r="A952" s="1" t="s">
        <v>306</v>
      </c>
      <c r="B952" s="3">
        <v>563.0</v>
      </c>
      <c r="C952" s="3">
        <v>60.0</v>
      </c>
      <c r="D952" s="3">
        <v>5.0</v>
      </c>
      <c r="E952" s="3">
        <v>0.0</v>
      </c>
      <c r="F952" s="3">
        <v>2.0</v>
      </c>
      <c r="G952" s="3">
        <v>1.0</v>
      </c>
      <c r="H952" s="3">
        <v>0.0</v>
      </c>
      <c r="I952" s="2" t="str">
        <f>IFERROR(__xludf.DUMMYFUNCTION("INDEX(SPLIT(A952, ""/""), 0, 2)"),"regex")</f>
        <v>regex</v>
      </c>
      <c r="J952" s="2" t="b">
        <f t="shared" si="1"/>
        <v>0</v>
      </c>
    </row>
    <row r="953">
      <c r="A953" s="1" t="s">
        <v>307</v>
      </c>
      <c r="B953" s="3">
        <v>29.0</v>
      </c>
      <c r="C953" s="3">
        <v>60.0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2" t="str">
        <f>IFERROR(__xludf.DUMMYFUNCTION("INDEX(SPLIT(A953, ""/""), 0, 2)"),"regex")</f>
        <v>regex</v>
      </c>
      <c r="J953" s="2" t="b">
        <f t="shared" si="1"/>
        <v>0</v>
      </c>
    </row>
    <row r="954">
      <c r="A954" s="1" t="s">
        <v>308</v>
      </c>
      <c r="B954" s="3">
        <v>118.0</v>
      </c>
      <c r="C954" s="3">
        <v>60.0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2" t="str">
        <f>IFERROR(__xludf.DUMMYFUNCTION("INDEX(SPLIT(A954, ""/""), 0, 2)"),"regex")</f>
        <v>regex</v>
      </c>
      <c r="J954" s="2" t="b">
        <f t="shared" si="1"/>
        <v>0</v>
      </c>
    </row>
    <row r="955">
      <c r="A955" s="1" t="s">
        <v>309</v>
      </c>
      <c r="B955" s="3">
        <v>203.0</v>
      </c>
      <c r="C955" s="3">
        <v>60.0</v>
      </c>
      <c r="D955" s="3">
        <v>2.0</v>
      </c>
      <c r="E955" s="3">
        <v>0.0</v>
      </c>
      <c r="F955" s="3">
        <v>0.0</v>
      </c>
      <c r="G955" s="3">
        <v>0.0</v>
      </c>
      <c r="H955" s="3">
        <v>0.0</v>
      </c>
      <c r="I955" s="2" t="str">
        <f>IFERROR(__xludf.DUMMYFUNCTION("INDEX(SPLIT(A955, ""/""), 0, 2)"),"regex")</f>
        <v>regex</v>
      </c>
      <c r="J955" s="2" t="b">
        <f t="shared" si="1"/>
        <v>0</v>
      </c>
    </row>
    <row r="956">
      <c r="A956" s="1" t="s">
        <v>310</v>
      </c>
      <c r="B956" s="3">
        <v>6.0</v>
      </c>
      <c r="C956" s="3">
        <v>60.0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2" t="str">
        <f>IFERROR(__xludf.DUMMYFUNCTION("INDEX(SPLIT(A956, ""/""), 0, 2)"),"regex")</f>
        <v>regex</v>
      </c>
      <c r="J956" s="2" t="b">
        <f t="shared" si="1"/>
        <v>0</v>
      </c>
    </row>
    <row r="957">
      <c r="A957" s="1" t="s">
        <v>311</v>
      </c>
      <c r="B957" s="3">
        <v>50.0</v>
      </c>
      <c r="C957" s="3">
        <v>60.0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2" t="str">
        <f>IFERROR(__xludf.DUMMYFUNCTION("INDEX(SPLIT(A957, ""/""), 0, 2)"),"regex")</f>
        <v>regex</v>
      </c>
      <c r="J957" s="2" t="b">
        <f t="shared" si="1"/>
        <v>0</v>
      </c>
    </row>
    <row r="958">
      <c r="A958" s="1" t="s">
        <v>312</v>
      </c>
      <c r="B958" s="3">
        <v>49.0</v>
      </c>
      <c r="C958" s="3">
        <v>60.0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2" t="str">
        <f>IFERROR(__xludf.DUMMYFUNCTION("INDEX(SPLIT(A958, ""/""), 0, 2)"),"regex")</f>
        <v>regex</v>
      </c>
      <c r="J958" s="2" t="b">
        <f t="shared" si="1"/>
        <v>0</v>
      </c>
    </row>
    <row r="959">
      <c r="A959" s="1" t="s">
        <v>313</v>
      </c>
      <c r="B959" s="3">
        <v>20.0</v>
      </c>
      <c r="C959" s="3">
        <v>60.0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2" t="str">
        <f>IFERROR(__xludf.DUMMYFUNCTION("INDEX(SPLIT(A959, ""/""), 0, 2)"),"regex")</f>
        <v>regex</v>
      </c>
      <c r="J959" s="2" t="b">
        <f t="shared" si="1"/>
        <v>0</v>
      </c>
    </row>
    <row r="960">
      <c r="A960" s="1" t="s">
        <v>314</v>
      </c>
      <c r="B960" s="3">
        <v>18.0</v>
      </c>
      <c r="C960" s="3">
        <v>60.0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2" t="str">
        <f>IFERROR(__xludf.DUMMYFUNCTION("INDEX(SPLIT(A960, ""/""), 0, 2)"),"regex")</f>
        <v>regex</v>
      </c>
      <c r="J960" s="2" t="b">
        <f t="shared" si="1"/>
        <v>0</v>
      </c>
    </row>
    <row r="961">
      <c r="A961" s="1" t="s">
        <v>315</v>
      </c>
      <c r="B961" s="3">
        <v>35.0</v>
      </c>
      <c r="C961" s="3">
        <v>60.0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2" t="str">
        <f>IFERROR(__xludf.DUMMYFUNCTION("INDEX(SPLIT(A961, ""/""), 0, 2)"),"regex")</f>
        <v>regex</v>
      </c>
      <c r="J961" s="2" t="b">
        <f t="shared" si="1"/>
        <v>0</v>
      </c>
    </row>
    <row r="962">
      <c r="A962" s="1" t="s">
        <v>316</v>
      </c>
      <c r="B962" s="3">
        <v>125.0</v>
      </c>
      <c r="C962" s="3">
        <v>60.0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2" t="str">
        <f>IFERROR(__xludf.DUMMYFUNCTION("INDEX(SPLIT(A962, ""/""), 0, 2)"),"regex")</f>
        <v>regex</v>
      </c>
      <c r="J962" s="2" t="b">
        <f t="shared" si="1"/>
        <v>0</v>
      </c>
    </row>
    <row r="963">
      <c r="A963" s="1" t="s">
        <v>317</v>
      </c>
      <c r="B963" s="3">
        <v>103.0</v>
      </c>
      <c r="C963" s="3">
        <v>60.0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2" t="str">
        <f>IFERROR(__xludf.DUMMYFUNCTION("INDEX(SPLIT(A963, ""/""), 0, 2)"),"regex")</f>
        <v>regex</v>
      </c>
      <c r="J963" s="2" t="b">
        <f t="shared" si="1"/>
        <v>0</v>
      </c>
    </row>
    <row r="964">
      <c r="A964" s="1" t="s">
        <v>318</v>
      </c>
      <c r="B964" s="3">
        <v>44.0</v>
      </c>
      <c r="C964" s="3">
        <v>60.0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2" t="str">
        <f>IFERROR(__xludf.DUMMYFUNCTION("INDEX(SPLIT(A964, ""/""), 0, 2)"),"regex")</f>
        <v>regex</v>
      </c>
      <c r="J964" s="2" t="b">
        <f t="shared" si="1"/>
        <v>0</v>
      </c>
    </row>
    <row r="965">
      <c r="A965" s="1" t="s">
        <v>319</v>
      </c>
      <c r="B965" s="3">
        <v>40.0</v>
      </c>
      <c r="C965" s="3">
        <v>60.0</v>
      </c>
      <c r="D965" s="3">
        <v>0.0</v>
      </c>
      <c r="E965" s="3">
        <v>0.0</v>
      </c>
      <c r="F965" s="3">
        <v>0.0</v>
      </c>
      <c r="G965" s="3">
        <v>0.0</v>
      </c>
      <c r="H965" s="3">
        <v>0.0</v>
      </c>
      <c r="I965" s="2" t="str">
        <f>IFERROR(__xludf.DUMMYFUNCTION("INDEX(SPLIT(A965, ""/""), 0, 2)"),"regex")</f>
        <v>regex</v>
      </c>
      <c r="J965" s="2" t="b">
        <f t="shared" si="1"/>
        <v>0</v>
      </c>
    </row>
    <row r="966">
      <c r="A966" s="1" t="s">
        <v>320</v>
      </c>
      <c r="B966" s="3">
        <v>62.0</v>
      </c>
      <c r="C966" s="3">
        <v>60.0</v>
      </c>
      <c r="D966" s="3">
        <v>0.0</v>
      </c>
      <c r="E966" s="3">
        <v>0.0</v>
      </c>
      <c r="F966" s="3">
        <v>0.0</v>
      </c>
      <c r="G966" s="3">
        <v>0.0</v>
      </c>
      <c r="H966" s="3">
        <v>0.0</v>
      </c>
      <c r="I966" s="2" t="str">
        <f>IFERROR(__xludf.DUMMYFUNCTION("INDEX(SPLIT(A966, ""/""), 0, 2)"),"regex")</f>
        <v>regex</v>
      </c>
      <c r="J966" s="2" t="b">
        <f t="shared" si="1"/>
        <v>0</v>
      </c>
    </row>
    <row r="967">
      <c r="A967" s="1" t="s">
        <v>321</v>
      </c>
      <c r="B967" s="3">
        <v>140.0</v>
      </c>
      <c r="C967" s="3">
        <v>60.0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  <c r="I967" s="2" t="str">
        <f>IFERROR(__xludf.DUMMYFUNCTION("INDEX(SPLIT(A967, ""/""), 0, 2)"),"regex")</f>
        <v>regex</v>
      </c>
      <c r="J967" s="2" t="b">
        <f t="shared" si="1"/>
        <v>0</v>
      </c>
    </row>
    <row r="968">
      <c r="A968" s="1" t="s">
        <v>322</v>
      </c>
      <c r="B968" s="3">
        <v>33.0</v>
      </c>
      <c r="C968" s="3">
        <v>60.0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2" t="str">
        <f>IFERROR(__xludf.DUMMYFUNCTION("INDEX(SPLIT(A968, ""/""), 0, 2)"),"regex")</f>
        <v>regex</v>
      </c>
      <c r="J968" s="2" t="b">
        <f t="shared" si="1"/>
        <v>0</v>
      </c>
    </row>
    <row r="969">
      <c r="A969" s="1" t="s">
        <v>323</v>
      </c>
      <c r="B969" s="3">
        <v>24.0</v>
      </c>
      <c r="C969" s="3">
        <v>60.0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2" t="str">
        <f>IFERROR(__xludf.DUMMYFUNCTION("INDEX(SPLIT(A969, ""/""), 0, 2)"),"regex")</f>
        <v>regex</v>
      </c>
      <c r="J969" s="2" t="b">
        <f t="shared" si="1"/>
        <v>0</v>
      </c>
    </row>
    <row r="970">
      <c r="A970" s="1" t="s">
        <v>324</v>
      </c>
      <c r="B970" s="3">
        <v>43.0</v>
      </c>
      <c r="C970" s="3">
        <v>60.0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2" t="str">
        <f>IFERROR(__xludf.DUMMYFUNCTION("INDEX(SPLIT(A970, ""/""), 0, 2)"),"regex")</f>
        <v>regex</v>
      </c>
      <c r="J970" s="2" t="b">
        <f t="shared" si="1"/>
        <v>0</v>
      </c>
    </row>
    <row r="971">
      <c r="A971" s="1" t="s">
        <v>325</v>
      </c>
      <c r="B971" s="3">
        <v>18.0</v>
      </c>
      <c r="C971" s="3">
        <v>60.0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2" t="str">
        <f>IFERROR(__xludf.DUMMYFUNCTION("INDEX(SPLIT(A971, ""/""), 0, 2)"),"regex")</f>
        <v>regex</v>
      </c>
      <c r="J971" s="2" t="b">
        <f t="shared" si="1"/>
        <v>0</v>
      </c>
    </row>
    <row r="972">
      <c r="A972" s="1" t="s">
        <v>326</v>
      </c>
      <c r="B972" s="3">
        <v>8.0</v>
      </c>
      <c r="C972" s="3">
        <v>60.0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2" t="str">
        <f>IFERROR(__xludf.DUMMYFUNCTION("INDEX(SPLIT(A972, ""/""), 0, 2)"),"regex")</f>
        <v>regex</v>
      </c>
      <c r="J972" s="2" t="b">
        <f t="shared" si="1"/>
        <v>0</v>
      </c>
    </row>
    <row r="973">
      <c r="A973" s="1" t="s">
        <v>327</v>
      </c>
      <c r="B973" s="3">
        <v>60.0</v>
      </c>
      <c r="C973" s="3">
        <v>60.0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2" t="str">
        <f>IFERROR(__xludf.DUMMYFUNCTION("INDEX(SPLIT(A973, ""/""), 0, 2)"),"regex")</f>
        <v>regex</v>
      </c>
      <c r="J973" s="2" t="b">
        <f t="shared" si="1"/>
        <v>0</v>
      </c>
    </row>
    <row r="974">
      <c r="A974" s="1" t="s">
        <v>328</v>
      </c>
      <c r="B974" s="3">
        <v>57.0</v>
      </c>
      <c r="C974" s="3">
        <v>60.0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2" t="str">
        <f>IFERROR(__xludf.DUMMYFUNCTION("INDEX(SPLIT(A974, ""/""), 0, 2)"),"regex")</f>
        <v>regex</v>
      </c>
      <c r="J974" s="2" t="b">
        <f t="shared" si="1"/>
        <v>0</v>
      </c>
    </row>
    <row r="975">
      <c r="A975" s="1" t="s">
        <v>329</v>
      </c>
      <c r="B975" s="3">
        <v>21.0</v>
      </c>
      <c r="C975" s="3">
        <v>60.0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2" t="str">
        <f>IFERROR(__xludf.DUMMYFUNCTION("INDEX(SPLIT(A975, ""/""), 0, 2)"),"regex")</f>
        <v>regex</v>
      </c>
      <c r="J975" s="2" t="b">
        <f t="shared" si="1"/>
        <v>0</v>
      </c>
    </row>
    <row r="976">
      <c r="A976" s="1" t="s">
        <v>330</v>
      </c>
      <c r="B976" s="3">
        <v>126.0</v>
      </c>
      <c r="C976" s="3">
        <v>60.0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2" t="str">
        <f>IFERROR(__xludf.DUMMYFUNCTION("INDEX(SPLIT(A976, ""/""), 0, 2)"),"regex")</f>
        <v>regex</v>
      </c>
      <c r="J976" s="2" t="b">
        <f t="shared" si="1"/>
        <v>0</v>
      </c>
    </row>
    <row r="977">
      <c r="A977" s="1" t="s">
        <v>331</v>
      </c>
      <c r="B977" s="3">
        <v>22.0</v>
      </c>
      <c r="C977" s="3">
        <v>60.0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2" t="str">
        <f>IFERROR(__xludf.DUMMYFUNCTION("INDEX(SPLIT(A977, ""/""), 0, 2)"),"regex")</f>
        <v>regex</v>
      </c>
      <c r="J977" s="2" t="b">
        <f t="shared" si="1"/>
        <v>0</v>
      </c>
    </row>
    <row r="978">
      <c r="A978" s="1" t="s">
        <v>332</v>
      </c>
      <c r="B978" s="3">
        <v>239.0</v>
      </c>
      <c r="C978" s="3">
        <v>60.0</v>
      </c>
      <c r="D978" s="3">
        <v>1.0</v>
      </c>
      <c r="E978" s="3">
        <v>0.0</v>
      </c>
      <c r="F978" s="3">
        <v>0.0</v>
      </c>
      <c r="G978" s="3">
        <v>0.0</v>
      </c>
      <c r="H978" s="3">
        <v>0.0</v>
      </c>
      <c r="I978" s="2" t="str">
        <f>IFERROR(__xludf.DUMMYFUNCTION("INDEX(SPLIT(A978, ""/""), 0, 2)"),"regex")</f>
        <v>regex</v>
      </c>
      <c r="J978" s="2" t="b">
        <f t="shared" si="1"/>
        <v>0</v>
      </c>
    </row>
    <row r="979">
      <c r="A979" s="1" t="s">
        <v>333</v>
      </c>
      <c r="B979" s="3">
        <v>34.0</v>
      </c>
      <c r="C979" s="3">
        <v>60.0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2" t="str">
        <f>IFERROR(__xludf.DUMMYFUNCTION("INDEX(SPLIT(A979, ""/""), 0, 2)"),"regex")</f>
        <v>regex</v>
      </c>
      <c r="J979" s="2" t="b">
        <f t="shared" si="1"/>
        <v>0</v>
      </c>
    </row>
    <row r="980">
      <c r="A980" s="1" t="s">
        <v>334</v>
      </c>
      <c r="B980" s="3">
        <v>39.0</v>
      </c>
      <c r="C980" s="3">
        <v>60.0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2" t="str">
        <f>IFERROR(__xludf.DUMMYFUNCTION("INDEX(SPLIT(A980, ""/""), 0, 2)"),"regex")</f>
        <v>regex</v>
      </c>
      <c r="J980" s="2" t="b">
        <f t="shared" si="1"/>
        <v>0</v>
      </c>
    </row>
    <row r="981">
      <c r="A981" s="1" t="s">
        <v>335</v>
      </c>
      <c r="B981" s="3">
        <v>318.0</v>
      </c>
      <c r="C981" s="3">
        <v>60.0</v>
      </c>
      <c r="D981" s="3">
        <v>2.0</v>
      </c>
      <c r="E981" s="3">
        <v>0.0</v>
      </c>
      <c r="F981" s="3">
        <v>0.0</v>
      </c>
      <c r="G981" s="3">
        <v>0.0</v>
      </c>
      <c r="H981" s="3">
        <v>0.0</v>
      </c>
      <c r="I981" s="2" t="str">
        <f>IFERROR(__xludf.DUMMYFUNCTION("INDEX(SPLIT(A981, ""/""), 0, 2)"),"regex")</f>
        <v>regex</v>
      </c>
      <c r="J981" s="2" t="b">
        <f t="shared" si="1"/>
        <v>0</v>
      </c>
    </row>
    <row r="982">
      <c r="A982" s="1" t="s">
        <v>336</v>
      </c>
      <c r="B982" s="3">
        <v>8.0</v>
      </c>
      <c r="C982" s="3">
        <v>60.0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2" t="str">
        <f>IFERROR(__xludf.DUMMYFUNCTION("INDEX(SPLIT(A982, ""/""), 0, 2)"),"regex")</f>
        <v>regex</v>
      </c>
      <c r="J982" s="2" t="b">
        <f t="shared" si="1"/>
        <v>0</v>
      </c>
    </row>
    <row r="983">
      <c r="A983" s="1" t="s">
        <v>337</v>
      </c>
      <c r="B983" s="3">
        <v>180.0</v>
      </c>
      <c r="C983" s="3">
        <v>60.0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2" t="str">
        <f>IFERROR(__xludf.DUMMYFUNCTION("INDEX(SPLIT(A983, ""/""), 0, 2)"),"regex")</f>
        <v>regex</v>
      </c>
      <c r="J983" s="2" t="b">
        <f t="shared" si="1"/>
        <v>0</v>
      </c>
    </row>
    <row r="984">
      <c r="A984" s="1" t="s">
        <v>338</v>
      </c>
      <c r="B984" s="3">
        <v>34.0</v>
      </c>
      <c r="C984" s="3">
        <v>60.0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2" t="str">
        <f>IFERROR(__xludf.DUMMYFUNCTION("INDEX(SPLIT(A984, ""/""), 0, 2)"),"regex")</f>
        <v>regex</v>
      </c>
      <c r="J984" s="2" t="b">
        <f t="shared" si="1"/>
        <v>0</v>
      </c>
    </row>
    <row r="985">
      <c r="A985" s="1" t="s">
        <v>339</v>
      </c>
      <c r="B985" s="3">
        <v>40.0</v>
      </c>
      <c r="C985" s="3">
        <v>60.0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2" t="str">
        <f>IFERROR(__xludf.DUMMYFUNCTION("INDEX(SPLIT(A985, ""/""), 0, 2)"),"regex")</f>
        <v>regex</v>
      </c>
      <c r="J985" s="2" t="b">
        <f t="shared" si="1"/>
        <v>0</v>
      </c>
    </row>
    <row r="986">
      <c r="A986" s="1" t="s">
        <v>340</v>
      </c>
      <c r="B986" s="3">
        <v>23.0</v>
      </c>
      <c r="C986" s="3">
        <v>60.0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  <c r="I986" s="2" t="str">
        <f>IFERROR(__xludf.DUMMYFUNCTION("INDEX(SPLIT(A986, ""/""), 0, 2)"),"regex")</f>
        <v>regex</v>
      </c>
      <c r="J986" s="2" t="b">
        <f t="shared" si="1"/>
        <v>0</v>
      </c>
    </row>
    <row r="987">
      <c r="A987" s="1" t="s">
        <v>341</v>
      </c>
      <c r="B987" s="3">
        <v>76.0</v>
      </c>
      <c r="C987" s="3">
        <v>60.0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2" t="str">
        <f>IFERROR(__xludf.DUMMYFUNCTION("INDEX(SPLIT(A987, ""/""), 0, 2)"),"regex")</f>
        <v>regex</v>
      </c>
      <c r="J987" s="2" t="b">
        <f t="shared" si="1"/>
        <v>0</v>
      </c>
    </row>
    <row r="988">
      <c r="A988" s="1" t="s">
        <v>342</v>
      </c>
      <c r="B988" s="3">
        <v>34.0</v>
      </c>
      <c r="C988" s="3">
        <v>60.0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2" t="str">
        <f>IFERROR(__xludf.DUMMYFUNCTION("INDEX(SPLIT(A988, ""/""), 0, 2)"),"regex")</f>
        <v>regex</v>
      </c>
      <c r="J988" s="2" t="b">
        <f t="shared" si="1"/>
        <v>0</v>
      </c>
    </row>
    <row r="989">
      <c r="A989" s="1" t="s">
        <v>343</v>
      </c>
      <c r="B989" s="3">
        <v>36.0</v>
      </c>
      <c r="C989" s="3">
        <v>60.0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2" t="str">
        <f>IFERROR(__xludf.DUMMYFUNCTION("INDEX(SPLIT(A989, ""/""), 0, 2)"),"regex")</f>
        <v>regex</v>
      </c>
      <c r="J989" s="2" t="b">
        <f t="shared" si="1"/>
        <v>0</v>
      </c>
    </row>
    <row r="990">
      <c r="A990" s="1" t="s">
        <v>344</v>
      </c>
      <c r="B990" s="3">
        <v>16.0</v>
      </c>
      <c r="C990" s="3">
        <v>60.0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2" t="str">
        <f>IFERROR(__xludf.DUMMYFUNCTION("INDEX(SPLIT(A990, ""/""), 0, 2)"),"regex")</f>
        <v>regex</v>
      </c>
      <c r="J990" s="2" t="b">
        <f t="shared" si="1"/>
        <v>0</v>
      </c>
    </row>
    <row r="991">
      <c r="A991" s="1" t="s">
        <v>345</v>
      </c>
      <c r="B991" s="3">
        <v>52.0</v>
      </c>
      <c r="C991" s="3">
        <v>60.0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2" t="str">
        <f>IFERROR(__xludf.DUMMYFUNCTION("INDEX(SPLIT(A991, ""/""), 0, 2)"),"regex")</f>
        <v>regex</v>
      </c>
      <c r="J991" s="2" t="b">
        <f t="shared" si="1"/>
        <v>0</v>
      </c>
    </row>
    <row r="992">
      <c r="A992" s="1" t="s">
        <v>346</v>
      </c>
      <c r="B992" s="3">
        <v>40.0</v>
      </c>
      <c r="C992" s="3">
        <v>60.0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2" t="str">
        <f>IFERROR(__xludf.DUMMYFUNCTION("INDEX(SPLIT(A992, ""/""), 0, 2)"),"regex")</f>
        <v>regex</v>
      </c>
      <c r="J992" s="2" t="b">
        <f t="shared" si="1"/>
        <v>0</v>
      </c>
    </row>
    <row r="993">
      <c r="A993" s="1" t="s">
        <v>347</v>
      </c>
      <c r="B993" s="3">
        <v>100.0</v>
      </c>
      <c r="C993" s="3">
        <v>60.0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2" t="str">
        <f>IFERROR(__xludf.DUMMYFUNCTION("INDEX(SPLIT(A993, ""/""), 0, 2)"),"regex")</f>
        <v>regex</v>
      </c>
      <c r="J993" s="2" t="b">
        <f t="shared" si="1"/>
        <v>0</v>
      </c>
    </row>
    <row r="994">
      <c r="A994" s="1" t="s">
        <v>348</v>
      </c>
      <c r="B994" s="3">
        <v>38.0</v>
      </c>
      <c r="C994" s="3">
        <v>60.0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2" t="str">
        <f>IFERROR(__xludf.DUMMYFUNCTION("INDEX(SPLIT(A994, ""/""), 0, 2)"),"regex")</f>
        <v>regex</v>
      </c>
      <c r="J994" s="2" t="b">
        <f t="shared" si="1"/>
        <v>0</v>
      </c>
    </row>
    <row r="995">
      <c r="A995" s="1" t="s">
        <v>349</v>
      </c>
      <c r="B995" s="3">
        <v>270.0</v>
      </c>
      <c r="C995" s="3">
        <v>60.0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2" t="str">
        <f>IFERROR(__xludf.DUMMYFUNCTION("INDEX(SPLIT(A995, ""/""), 0, 2)"),"regex")</f>
        <v>regex</v>
      </c>
      <c r="J995" s="2" t="b">
        <f t="shared" si="1"/>
        <v>0</v>
      </c>
    </row>
    <row r="996">
      <c r="A996" s="1" t="s">
        <v>350</v>
      </c>
      <c r="B996" s="3">
        <v>30.0</v>
      </c>
      <c r="C996" s="3">
        <v>60.0</v>
      </c>
      <c r="D996" s="3">
        <v>0.0</v>
      </c>
      <c r="E996" s="3">
        <v>0.0</v>
      </c>
      <c r="F996" s="3">
        <v>0.0</v>
      </c>
      <c r="G996" s="3">
        <v>0.0</v>
      </c>
      <c r="H996" s="3">
        <v>0.0</v>
      </c>
      <c r="I996" s="2" t="str">
        <f>IFERROR(__xludf.DUMMYFUNCTION("INDEX(SPLIT(A996, ""/""), 0, 2)"),"regex")</f>
        <v>regex</v>
      </c>
      <c r="J996" s="2" t="b">
        <f t="shared" si="1"/>
        <v>0</v>
      </c>
    </row>
    <row r="997">
      <c r="A997" s="1" t="s">
        <v>351</v>
      </c>
      <c r="B997" s="3">
        <v>29.0</v>
      </c>
      <c r="C997" s="3">
        <v>60.0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2" t="str">
        <f>IFERROR(__xludf.DUMMYFUNCTION("INDEX(SPLIT(A997, ""/""), 0, 2)"),"regex")</f>
        <v>regex</v>
      </c>
      <c r="J997" s="2" t="b">
        <f t="shared" si="1"/>
        <v>0</v>
      </c>
    </row>
    <row r="998">
      <c r="A998" s="1" t="s">
        <v>352</v>
      </c>
      <c r="B998" s="3">
        <v>30.0</v>
      </c>
      <c r="C998" s="3">
        <v>60.0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2" t="str">
        <f>IFERROR(__xludf.DUMMYFUNCTION("INDEX(SPLIT(A998, ""/""), 0, 2)"),"regex")</f>
        <v>regex</v>
      </c>
      <c r="J998" s="2" t="b">
        <f t="shared" si="1"/>
        <v>0</v>
      </c>
    </row>
    <row r="999">
      <c r="A999" s="1" t="s">
        <v>353</v>
      </c>
      <c r="B999" s="3">
        <v>73.0</v>
      </c>
      <c r="C999" s="3">
        <v>60.0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2" t="str">
        <f>IFERROR(__xludf.DUMMYFUNCTION("INDEX(SPLIT(A999, ""/""), 0, 2)"),"regex")</f>
        <v>regex</v>
      </c>
      <c r="J999" s="2" t="b">
        <f t="shared" si="1"/>
        <v>0</v>
      </c>
    </row>
    <row r="1000">
      <c r="A1000" s="1" t="s">
        <v>354</v>
      </c>
      <c r="B1000" s="3">
        <v>15.0</v>
      </c>
      <c r="C1000" s="3">
        <v>60.0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2" t="str">
        <f>IFERROR(__xludf.DUMMYFUNCTION("INDEX(SPLIT(A1000, ""/""), 0, 2)"),"regex")</f>
        <v>regex</v>
      </c>
      <c r="J1000" s="2" t="b">
        <f t="shared" si="1"/>
        <v>0</v>
      </c>
    </row>
    <row r="1001">
      <c r="A1001" s="1" t="s">
        <v>355</v>
      </c>
      <c r="B1001" s="3">
        <v>42.0</v>
      </c>
      <c r="C1001" s="3">
        <v>60.0</v>
      </c>
      <c r="D1001" s="3">
        <v>0.0</v>
      </c>
      <c r="E1001" s="3">
        <v>0.0</v>
      </c>
      <c r="F1001" s="3">
        <v>0.0</v>
      </c>
      <c r="G1001" s="3">
        <v>0.0</v>
      </c>
      <c r="H1001" s="3">
        <v>0.0</v>
      </c>
      <c r="I1001" s="2" t="str">
        <f>IFERROR(__xludf.DUMMYFUNCTION("INDEX(SPLIT(A1001, ""/""), 0, 2)"),"regex")</f>
        <v>regex</v>
      </c>
      <c r="J1001" s="2" t="b">
        <f t="shared" si="1"/>
        <v>0</v>
      </c>
    </row>
    <row r="1002">
      <c r="A1002" s="1" t="s">
        <v>356</v>
      </c>
      <c r="B1002" s="3">
        <v>45.0</v>
      </c>
      <c r="C1002" s="3">
        <v>60.0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2" t="str">
        <f>IFERROR(__xludf.DUMMYFUNCTION("INDEX(SPLIT(A1002, ""/""), 0, 2)"),"regex")</f>
        <v>regex</v>
      </c>
      <c r="J1002" s="2" t="b">
        <f t="shared" si="1"/>
        <v>0</v>
      </c>
    </row>
    <row r="1003">
      <c r="A1003" s="1" t="s">
        <v>357</v>
      </c>
      <c r="B1003" s="3">
        <v>17.0</v>
      </c>
      <c r="C1003" s="3">
        <v>60.0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2" t="str">
        <f>IFERROR(__xludf.DUMMYFUNCTION("INDEX(SPLIT(A1003, ""/""), 0, 2)"),"regex")</f>
        <v>regex</v>
      </c>
      <c r="J1003" s="2" t="b">
        <f t="shared" si="1"/>
        <v>0</v>
      </c>
    </row>
    <row r="1004">
      <c r="A1004" s="1" t="s">
        <v>358</v>
      </c>
      <c r="B1004" s="3">
        <v>12.0</v>
      </c>
      <c r="C1004" s="3">
        <v>60.0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2" t="str">
        <f>IFERROR(__xludf.DUMMYFUNCTION("INDEX(SPLIT(A1004, ""/""), 0, 2)"),"regex")</f>
        <v>regex</v>
      </c>
      <c r="J1004" s="2" t="b">
        <f t="shared" si="1"/>
        <v>0</v>
      </c>
    </row>
    <row r="1005">
      <c r="A1005" s="1" t="s">
        <v>359</v>
      </c>
      <c r="B1005" s="3">
        <v>99.0</v>
      </c>
      <c r="C1005" s="3">
        <v>60.0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2" t="str">
        <f>IFERROR(__xludf.DUMMYFUNCTION("INDEX(SPLIT(A1005, ""/""), 0, 2)"),"regex")</f>
        <v>regex</v>
      </c>
      <c r="J1005" s="2" t="b">
        <f t="shared" si="1"/>
        <v>0</v>
      </c>
    </row>
    <row r="1006">
      <c r="A1006" s="1" t="s">
        <v>360</v>
      </c>
      <c r="B1006" s="3">
        <v>35.0</v>
      </c>
      <c r="C1006" s="3">
        <v>60.0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2" t="str">
        <f>IFERROR(__xludf.DUMMYFUNCTION("INDEX(SPLIT(A1006, ""/""), 0, 2)"),"regex")</f>
        <v>regex</v>
      </c>
      <c r="J1006" s="2" t="b">
        <f t="shared" si="1"/>
        <v>0</v>
      </c>
    </row>
    <row r="1007">
      <c r="A1007" s="1" t="s">
        <v>361</v>
      </c>
      <c r="B1007" s="3">
        <v>23.0</v>
      </c>
      <c r="C1007" s="3">
        <v>60.0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2" t="str">
        <f>IFERROR(__xludf.DUMMYFUNCTION("INDEX(SPLIT(A1007, ""/""), 0, 2)"),"regex")</f>
        <v>regex</v>
      </c>
      <c r="J1007" s="2" t="b">
        <f t="shared" si="1"/>
        <v>0</v>
      </c>
    </row>
    <row r="1008">
      <c r="A1008" s="1" t="s">
        <v>362</v>
      </c>
      <c r="B1008" s="3">
        <v>36.0</v>
      </c>
      <c r="C1008" s="3">
        <v>60.0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2" t="str">
        <f>IFERROR(__xludf.DUMMYFUNCTION("INDEX(SPLIT(A1008, ""/""), 0, 2)"),"regex")</f>
        <v>regex</v>
      </c>
      <c r="J1008" s="2" t="b">
        <f t="shared" si="1"/>
        <v>0</v>
      </c>
    </row>
    <row r="1009">
      <c r="A1009" s="1" t="s">
        <v>363</v>
      </c>
      <c r="B1009" s="3">
        <v>66.0</v>
      </c>
      <c r="C1009" s="3">
        <v>60.0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2" t="str">
        <f>IFERROR(__xludf.DUMMYFUNCTION("INDEX(SPLIT(A1009, ""/""), 0, 2)"),"regex")</f>
        <v>regex</v>
      </c>
      <c r="J1009" s="2" t="b">
        <f t="shared" si="1"/>
        <v>0</v>
      </c>
    </row>
    <row r="1010">
      <c r="A1010" s="1" t="s">
        <v>364</v>
      </c>
      <c r="B1010" s="3">
        <v>40.0</v>
      </c>
      <c r="C1010" s="3">
        <v>60.0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2" t="str">
        <f>IFERROR(__xludf.DUMMYFUNCTION("INDEX(SPLIT(A1010, ""/""), 0, 2)"),"regex")</f>
        <v>regex</v>
      </c>
      <c r="J1010" s="2" t="b">
        <f t="shared" si="1"/>
        <v>0</v>
      </c>
    </row>
    <row r="1011">
      <c r="A1011" s="1" t="s">
        <v>365</v>
      </c>
      <c r="B1011" s="3">
        <v>22.0</v>
      </c>
      <c r="C1011" s="3">
        <v>60.0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2" t="str">
        <f>IFERROR(__xludf.DUMMYFUNCTION("INDEX(SPLIT(A1011, ""/""), 0, 2)"),"regex")</f>
        <v>regex</v>
      </c>
      <c r="J1011" s="2" t="b">
        <f t="shared" si="1"/>
        <v>0</v>
      </c>
    </row>
    <row r="1012">
      <c r="A1012" s="1" t="s">
        <v>366</v>
      </c>
      <c r="B1012" s="3">
        <v>162.0</v>
      </c>
      <c r="C1012" s="3">
        <v>60.0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2" t="str">
        <f>IFERROR(__xludf.DUMMYFUNCTION("INDEX(SPLIT(A1012, ""/""), 0, 2)"),"regex")</f>
        <v>regex</v>
      </c>
      <c r="J1012" s="2" t="b">
        <f t="shared" si="1"/>
        <v>0</v>
      </c>
    </row>
    <row r="1013">
      <c r="A1013" s="1" t="s">
        <v>367</v>
      </c>
      <c r="B1013" s="3">
        <v>35.0</v>
      </c>
      <c r="C1013" s="3">
        <v>60.0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2" t="str">
        <f>IFERROR(__xludf.DUMMYFUNCTION("INDEX(SPLIT(A1013, ""/""), 0, 2)"),"regex")</f>
        <v>regex</v>
      </c>
      <c r="J1013" s="2" t="b">
        <f t="shared" si="1"/>
        <v>0</v>
      </c>
    </row>
    <row r="1014">
      <c r="A1014" s="1" t="s">
        <v>368</v>
      </c>
      <c r="B1014" s="3">
        <v>17.0</v>
      </c>
      <c r="C1014" s="3">
        <v>60.0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2" t="str">
        <f>IFERROR(__xludf.DUMMYFUNCTION("INDEX(SPLIT(A1014, ""/""), 0, 2)"),"regex")</f>
        <v>regex</v>
      </c>
      <c r="J1014" s="2" t="b">
        <f t="shared" si="1"/>
        <v>0</v>
      </c>
    </row>
    <row r="1015">
      <c r="A1015" s="1" t="s">
        <v>369</v>
      </c>
      <c r="B1015" s="3">
        <v>28.0</v>
      </c>
      <c r="C1015" s="3">
        <v>60.0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2" t="str">
        <f>IFERROR(__xludf.DUMMYFUNCTION("INDEX(SPLIT(A1015, ""/""), 0, 2)"),"regex")</f>
        <v>regex</v>
      </c>
      <c r="J1015" s="2" t="b">
        <f t="shared" si="1"/>
        <v>0</v>
      </c>
    </row>
    <row r="1016">
      <c r="A1016" s="1" t="s">
        <v>370</v>
      </c>
      <c r="B1016" s="3">
        <v>3.0</v>
      </c>
      <c r="C1016" s="3">
        <v>60.0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2" t="str">
        <f>IFERROR(__xludf.DUMMYFUNCTION("INDEX(SPLIT(A1016, ""/""), 0, 2)"),"regex")</f>
        <v>regex</v>
      </c>
      <c r="J1016" s="2" t="b">
        <f t="shared" si="1"/>
        <v>0</v>
      </c>
    </row>
    <row r="1017">
      <c r="A1017" s="1" t="s">
        <v>371</v>
      </c>
      <c r="B1017" s="3">
        <v>9.0</v>
      </c>
      <c r="C1017" s="3">
        <v>60.0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2" t="str">
        <f>IFERROR(__xludf.DUMMYFUNCTION("INDEX(SPLIT(A1017, ""/""), 0, 2)"),"regex")</f>
        <v>regex</v>
      </c>
      <c r="J1017" s="2" t="b">
        <f t="shared" si="1"/>
        <v>0</v>
      </c>
    </row>
    <row r="1018">
      <c r="A1018" s="1" t="s">
        <v>372</v>
      </c>
      <c r="B1018" s="3">
        <v>84.0</v>
      </c>
      <c r="C1018" s="3">
        <v>60.0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2" t="str">
        <f>IFERROR(__xludf.DUMMYFUNCTION("INDEX(SPLIT(A1018, ""/""), 0, 2)"),"regex")</f>
        <v>regex</v>
      </c>
      <c r="J1018" s="2" t="b">
        <f t="shared" si="1"/>
        <v>0</v>
      </c>
    </row>
    <row r="1019">
      <c r="A1019" s="1" t="s">
        <v>373</v>
      </c>
      <c r="B1019" s="3">
        <v>497.0</v>
      </c>
      <c r="C1019" s="3">
        <v>60.0</v>
      </c>
      <c r="D1019" s="3">
        <v>3.0</v>
      </c>
      <c r="E1019" s="3">
        <v>0.0</v>
      </c>
      <c r="F1019" s="3">
        <v>0.0</v>
      </c>
      <c r="G1019" s="3">
        <v>0.0</v>
      </c>
      <c r="H1019" s="3">
        <v>0.0</v>
      </c>
      <c r="I1019" s="2" t="str">
        <f>IFERROR(__xludf.DUMMYFUNCTION("INDEX(SPLIT(A1019, ""/""), 0, 2)"),"regex")</f>
        <v>regex</v>
      </c>
      <c r="J1019" s="2" t="b">
        <f t="shared" si="1"/>
        <v>0</v>
      </c>
    </row>
    <row r="1020">
      <c r="A1020" s="1" t="s">
        <v>374</v>
      </c>
      <c r="B1020" s="3">
        <v>22.0</v>
      </c>
      <c r="C1020" s="3">
        <v>60.0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2" t="str">
        <f>IFERROR(__xludf.DUMMYFUNCTION("INDEX(SPLIT(A1020, ""/""), 0, 2)"),"regex")</f>
        <v>regex</v>
      </c>
      <c r="J1020" s="2" t="b">
        <f t="shared" si="1"/>
        <v>0</v>
      </c>
    </row>
    <row r="1021">
      <c r="A1021" s="1" t="s">
        <v>375</v>
      </c>
      <c r="B1021" s="3">
        <v>17.0</v>
      </c>
      <c r="C1021" s="3">
        <v>60.0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2" t="str">
        <f>IFERROR(__xludf.DUMMYFUNCTION("INDEX(SPLIT(A1021, ""/""), 0, 2)"),"regex")</f>
        <v>regex</v>
      </c>
      <c r="J1021" s="2" t="b">
        <f t="shared" si="1"/>
        <v>0</v>
      </c>
    </row>
    <row r="1022">
      <c r="A1022" s="1" t="s">
        <v>376</v>
      </c>
      <c r="B1022" s="3">
        <v>4.0</v>
      </c>
      <c r="C1022" s="3">
        <v>60.0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2" t="str">
        <f>IFERROR(__xludf.DUMMYFUNCTION("INDEX(SPLIT(A1022, ""/""), 0, 2)"),"regex")</f>
        <v>regex</v>
      </c>
      <c r="J1022" s="2" t="b">
        <f t="shared" si="1"/>
        <v>0</v>
      </c>
    </row>
    <row r="1023">
      <c r="A1023" s="1" t="s">
        <v>377</v>
      </c>
      <c r="B1023" s="3">
        <v>32.0</v>
      </c>
      <c r="C1023" s="3">
        <v>60.0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2" t="str">
        <f>IFERROR(__xludf.DUMMYFUNCTION("INDEX(SPLIT(A1023, ""/""), 0, 2)"),"regex")</f>
        <v>regex</v>
      </c>
      <c r="J1023" s="2" t="b">
        <f t="shared" si="1"/>
        <v>0</v>
      </c>
    </row>
    <row r="1024">
      <c r="A1024" s="1" t="s">
        <v>378</v>
      </c>
      <c r="B1024" s="3">
        <v>27.0</v>
      </c>
      <c r="C1024" s="3">
        <v>60.0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2" t="str">
        <f>IFERROR(__xludf.DUMMYFUNCTION("INDEX(SPLIT(A1024, ""/""), 0, 2)"),"regex")</f>
        <v>regex</v>
      </c>
      <c r="J1024" s="2" t="b">
        <f t="shared" si="1"/>
        <v>0</v>
      </c>
    </row>
    <row r="1025">
      <c r="A1025" s="1" t="s">
        <v>379</v>
      </c>
      <c r="B1025" s="3">
        <v>76.0</v>
      </c>
      <c r="C1025" s="3">
        <v>60.0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2" t="str">
        <f>IFERROR(__xludf.DUMMYFUNCTION("INDEX(SPLIT(A1025, ""/""), 0, 2)"),"regex")</f>
        <v>regex</v>
      </c>
      <c r="J1025" s="2" t="b">
        <f t="shared" si="1"/>
        <v>0</v>
      </c>
    </row>
    <row r="1026">
      <c r="A1026" s="1" t="s">
        <v>380</v>
      </c>
      <c r="B1026" s="3">
        <v>16.0</v>
      </c>
      <c r="C1026" s="3">
        <v>60.0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2" t="str">
        <f>IFERROR(__xludf.DUMMYFUNCTION("INDEX(SPLIT(A1026, ""/""), 0, 2)"),"regex")</f>
        <v>regex</v>
      </c>
      <c r="J1026" s="2" t="b">
        <f t="shared" si="1"/>
        <v>0</v>
      </c>
    </row>
    <row r="1027">
      <c r="A1027" s="1" t="s">
        <v>381</v>
      </c>
      <c r="B1027" s="3">
        <v>14.0</v>
      </c>
      <c r="C1027" s="3">
        <v>60.0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2" t="str">
        <f>IFERROR(__xludf.DUMMYFUNCTION("INDEX(SPLIT(A1027, ""/""), 0, 2)"),"regex")</f>
        <v>regex</v>
      </c>
      <c r="J1027" s="2" t="b">
        <f t="shared" si="1"/>
        <v>0</v>
      </c>
    </row>
    <row r="1028">
      <c r="A1028" s="1" t="s">
        <v>382</v>
      </c>
      <c r="B1028" s="3">
        <v>71.0</v>
      </c>
      <c r="C1028" s="3">
        <v>60.0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2" t="str">
        <f>IFERROR(__xludf.DUMMYFUNCTION("INDEX(SPLIT(A1028, ""/""), 0, 2)"),"regex")</f>
        <v>regex</v>
      </c>
      <c r="J1028" s="2" t="b">
        <f t="shared" si="1"/>
        <v>0</v>
      </c>
    </row>
    <row r="1029">
      <c r="A1029" s="1" t="s">
        <v>383</v>
      </c>
      <c r="B1029" s="3">
        <v>26.0</v>
      </c>
      <c r="C1029" s="3">
        <v>60.0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2" t="str">
        <f>IFERROR(__xludf.DUMMYFUNCTION("INDEX(SPLIT(A1029, ""/""), 0, 2)"),"regex")</f>
        <v>regex</v>
      </c>
      <c r="J1029" s="2" t="b">
        <f t="shared" si="1"/>
        <v>0</v>
      </c>
    </row>
    <row r="1030">
      <c r="A1030" s="1" t="s">
        <v>384</v>
      </c>
      <c r="B1030" s="3">
        <v>24.0</v>
      </c>
      <c r="C1030" s="3">
        <v>60.0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2" t="str">
        <f>IFERROR(__xludf.DUMMYFUNCTION("INDEX(SPLIT(A1030, ""/""), 0, 2)"),"regex")</f>
        <v>regex</v>
      </c>
      <c r="J1030" s="2" t="b">
        <f t="shared" si="1"/>
        <v>0</v>
      </c>
    </row>
    <row r="1031">
      <c r="A1031" s="1" t="s">
        <v>385</v>
      </c>
      <c r="B1031" s="3">
        <v>33.0</v>
      </c>
      <c r="C1031" s="3">
        <v>60.0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2" t="str">
        <f>IFERROR(__xludf.DUMMYFUNCTION("INDEX(SPLIT(A1031, ""/""), 0, 2)"),"regex")</f>
        <v>regex</v>
      </c>
      <c r="J1031" s="2" t="b">
        <f t="shared" si="1"/>
        <v>0</v>
      </c>
    </row>
    <row r="1032">
      <c r="A1032" s="1" t="s">
        <v>386</v>
      </c>
      <c r="B1032" s="3">
        <v>211.0</v>
      </c>
      <c r="C1032" s="3">
        <v>60.0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  <c r="I1032" s="2" t="str">
        <f>IFERROR(__xludf.DUMMYFUNCTION("INDEX(SPLIT(A1032, ""/""), 0, 2)"),"regex")</f>
        <v>regex</v>
      </c>
      <c r="J1032" s="2" t="b">
        <f t="shared" si="1"/>
        <v>0</v>
      </c>
    </row>
    <row r="1033">
      <c r="A1033" s="1" t="s">
        <v>387</v>
      </c>
      <c r="B1033" s="3">
        <v>10.0</v>
      </c>
      <c r="C1033" s="3">
        <v>60.0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2" t="str">
        <f>IFERROR(__xludf.DUMMYFUNCTION("INDEX(SPLIT(A1033, ""/""), 0, 2)"),"regex")</f>
        <v>regex</v>
      </c>
      <c r="J1033" s="2" t="b">
        <f t="shared" si="1"/>
        <v>0</v>
      </c>
    </row>
    <row r="1034">
      <c r="A1034" s="1" t="s">
        <v>388</v>
      </c>
      <c r="B1034" s="3">
        <v>117.0</v>
      </c>
      <c r="C1034" s="3">
        <v>60.0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2" t="str">
        <f>IFERROR(__xludf.DUMMYFUNCTION("INDEX(SPLIT(A1034, ""/""), 0, 2)"),"regex")</f>
        <v>regex</v>
      </c>
      <c r="J1034" s="2" t="b">
        <f t="shared" si="1"/>
        <v>0</v>
      </c>
    </row>
    <row r="1035">
      <c r="A1035" s="1" t="s">
        <v>389</v>
      </c>
      <c r="B1035" s="3">
        <v>16.0</v>
      </c>
      <c r="C1035" s="3">
        <v>60.0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2" t="str">
        <f>IFERROR(__xludf.DUMMYFUNCTION("INDEX(SPLIT(A1035, ""/""), 0, 2)"),"regex")</f>
        <v>regex</v>
      </c>
      <c r="J1035" s="2" t="b">
        <f t="shared" si="1"/>
        <v>0</v>
      </c>
    </row>
    <row r="1036">
      <c r="A1036" s="1" t="s">
        <v>390</v>
      </c>
      <c r="B1036" s="3">
        <v>5.0</v>
      </c>
      <c r="C1036" s="3">
        <v>60.0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0.0</v>
      </c>
      <c r="I1036" s="2" t="str">
        <f>IFERROR(__xludf.DUMMYFUNCTION("INDEX(SPLIT(A1036, ""/""), 0, 2)"),"regex")</f>
        <v>regex</v>
      </c>
      <c r="J1036" s="2" t="b">
        <f t="shared" si="1"/>
        <v>0</v>
      </c>
    </row>
    <row r="1037">
      <c r="A1037" s="1" t="s">
        <v>391</v>
      </c>
      <c r="B1037" s="3">
        <v>27.0</v>
      </c>
      <c r="C1037" s="3">
        <v>60.0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2" t="str">
        <f>IFERROR(__xludf.DUMMYFUNCTION("INDEX(SPLIT(A1037, ""/""), 0, 2)"),"regex")</f>
        <v>regex</v>
      </c>
      <c r="J1037" s="2" t="b">
        <f t="shared" si="1"/>
        <v>0</v>
      </c>
    </row>
    <row r="1038">
      <c r="A1038" s="1" t="s">
        <v>392</v>
      </c>
      <c r="B1038" s="3">
        <v>35.0</v>
      </c>
      <c r="C1038" s="3">
        <v>60.0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2" t="str">
        <f>IFERROR(__xludf.DUMMYFUNCTION("INDEX(SPLIT(A1038, ""/""), 0, 2)"),"regex")</f>
        <v>regex</v>
      </c>
      <c r="J1038" s="2" t="b">
        <f t="shared" si="1"/>
        <v>0</v>
      </c>
    </row>
    <row r="1039">
      <c r="A1039" s="1" t="s">
        <v>393</v>
      </c>
      <c r="B1039" s="3">
        <v>59.0</v>
      </c>
      <c r="C1039" s="3">
        <v>60.0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2" t="str">
        <f>IFERROR(__xludf.DUMMYFUNCTION("INDEX(SPLIT(A1039, ""/""), 0, 2)"),"regex")</f>
        <v>regex</v>
      </c>
      <c r="J1039" s="2" t="b">
        <f t="shared" si="1"/>
        <v>0</v>
      </c>
    </row>
    <row r="1040">
      <c r="A1040" s="1" t="s">
        <v>394</v>
      </c>
      <c r="B1040" s="3">
        <v>12.0</v>
      </c>
      <c r="C1040" s="3">
        <v>60.0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2" t="str">
        <f>IFERROR(__xludf.DUMMYFUNCTION("INDEX(SPLIT(A1040, ""/""), 0, 2)"),"regex")</f>
        <v>regex</v>
      </c>
      <c r="J1040" s="2" t="b">
        <f t="shared" si="1"/>
        <v>0</v>
      </c>
    </row>
    <row r="1041">
      <c r="A1041" s="1" t="s">
        <v>395</v>
      </c>
      <c r="B1041" s="3">
        <v>24.0</v>
      </c>
      <c r="C1041" s="3">
        <v>60.0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2" t="str">
        <f>IFERROR(__xludf.DUMMYFUNCTION("INDEX(SPLIT(A1041, ""/""), 0, 2)"),"regex")</f>
        <v>regex</v>
      </c>
      <c r="J1041" s="2" t="b">
        <f t="shared" si="1"/>
        <v>0</v>
      </c>
    </row>
    <row r="1042">
      <c r="A1042" s="1" t="s">
        <v>396</v>
      </c>
      <c r="B1042" s="3">
        <v>21.0</v>
      </c>
      <c r="C1042" s="3">
        <v>60.0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2" t="str">
        <f>IFERROR(__xludf.DUMMYFUNCTION("INDEX(SPLIT(A1042, ""/""), 0, 2)"),"regex")</f>
        <v>regex</v>
      </c>
      <c r="J1042" s="2" t="b">
        <f t="shared" si="1"/>
        <v>0</v>
      </c>
    </row>
    <row r="1043">
      <c r="A1043" s="1" t="s">
        <v>397</v>
      </c>
      <c r="B1043" s="3">
        <v>99.0</v>
      </c>
      <c r="C1043" s="3">
        <v>60.0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2" t="str">
        <f>IFERROR(__xludf.DUMMYFUNCTION("INDEX(SPLIT(A1043, ""/""), 0, 2)"),"regex")</f>
        <v>regex</v>
      </c>
      <c r="J1043" s="2" t="b">
        <f t="shared" si="1"/>
        <v>0</v>
      </c>
    </row>
    <row r="1044">
      <c r="A1044" s="1" t="s">
        <v>398</v>
      </c>
      <c r="B1044" s="3">
        <v>63.0</v>
      </c>
      <c r="C1044" s="3">
        <v>60.0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2" t="str">
        <f>IFERROR(__xludf.DUMMYFUNCTION("INDEX(SPLIT(A1044, ""/""), 0, 2)"),"regex")</f>
        <v>regex</v>
      </c>
      <c r="J1044" s="2" t="b">
        <f t="shared" si="1"/>
        <v>0</v>
      </c>
    </row>
    <row r="1045">
      <c r="A1045" s="1" t="s">
        <v>399</v>
      </c>
      <c r="B1045" s="3">
        <v>56.0</v>
      </c>
      <c r="C1045" s="3">
        <v>60.0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2" t="str">
        <f>IFERROR(__xludf.DUMMYFUNCTION("INDEX(SPLIT(A1045, ""/""), 0, 2)"),"regex")</f>
        <v>regex</v>
      </c>
      <c r="J1045" s="2" t="b">
        <f t="shared" si="1"/>
        <v>0</v>
      </c>
    </row>
    <row r="1046">
      <c r="A1046" s="1" t="s">
        <v>400</v>
      </c>
      <c r="B1046" s="3">
        <v>95.0</v>
      </c>
      <c r="C1046" s="3">
        <v>60.0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2" t="str">
        <f>IFERROR(__xludf.DUMMYFUNCTION("INDEX(SPLIT(A1046, ""/""), 0, 2)"),"regex")</f>
        <v>regex</v>
      </c>
      <c r="J1046" s="2" t="b">
        <f t="shared" si="1"/>
        <v>0</v>
      </c>
    </row>
    <row r="1047">
      <c r="A1047" s="1" t="s">
        <v>401</v>
      </c>
      <c r="B1047" s="3">
        <v>38.0</v>
      </c>
      <c r="C1047" s="3">
        <v>60.0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2" t="str">
        <f>IFERROR(__xludf.DUMMYFUNCTION("INDEX(SPLIT(A1047, ""/""), 0, 2)"),"regex")</f>
        <v>regex</v>
      </c>
      <c r="J1047" s="2" t="b">
        <f t="shared" si="1"/>
        <v>0</v>
      </c>
    </row>
    <row r="1048">
      <c r="A1048" s="1" t="s">
        <v>402</v>
      </c>
      <c r="B1048" s="3">
        <v>5.0</v>
      </c>
      <c r="C1048" s="3">
        <v>60.0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2" t="str">
        <f>IFERROR(__xludf.DUMMYFUNCTION("INDEX(SPLIT(A1048, ""/""), 0, 2)"),"regex")</f>
        <v>regex</v>
      </c>
      <c r="J1048" s="2" t="b">
        <f t="shared" si="1"/>
        <v>0</v>
      </c>
    </row>
    <row r="1049">
      <c r="A1049" s="1" t="s">
        <v>403</v>
      </c>
      <c r="B1049" s="3">
        <v>16.0</v>
      </c>
      <c r="C1049" s="3">
        <v>60.0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2" t="str">
        <f>IFERROR(__xludf.DUMMYFUNCTION("INDEX(SPLIT(A1049, ""/""), 0, 2)"),"regex")</f>
        <v>regex</v>
      </c>
      <c r="J1049" s="2" t="b">
        <f t="shared" si="1"/>
        <v>0</v>
      </c>
    </row>
    <row r="1050">
      <c r="A1050" s="1" t="s">
        <v>404</v>
      </c>
      <c r="B1050" s="3">
        <v>26.0</v>
      </c>
      <c r="C1050" s="3">
        <v>60.0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2" t="str">
        <f>IFERROR(__xludf.DUMMYFUNCTION("INDEX(SPLIT(A1050, ""/""), 0, 2)"),"regex")</f>
        <v>regex</v>
      </c>
      <c r="J1050" s="2" t="b">
        <f t="shared" si="1"/>
        <v>0</v>
      </c>
    </row>
    <row r="1051">
      <c r="A1051" s="1" t="s">
        <v>405</v>
      </c>
      <c r="B1051" s="3">
        <v>47.0</v>
      </c>
      <c r="C1051" s="3">
        <v>60.0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2" t="str">
        <f>IFERROR(__xludf.DUMMYFUNCTION("INDEX(SPLIT(A1051, ""/""), 0, 2)"),"regex")</f>
        <v>regex</v>
      </c>
      <c r="J1051" s="2" t="b">
        <f t="shared" si="1"/>
        <v>0</v>
      </c>
    </row>
    <row r="1052">
      <c r="A1052" s="1" t="s">
        <v>406</v>
      </c>
      <c r="B1052" s="3">
        <v>149.0</v>
      </c>
      <c r="C1052" s="3">
        <v>60.0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2" t="str">
        <f>IFERROR(__xludf.DUMMYFUNCTION("INDEX(SPLIT(A1052, ""/""), 0, 2)"),"regex")</f>
        <v>regex</v>
      </c>
      <c r="J1052" s="2" t="b">
        <f t="shared" si="1"/>
        <v>0</v>
      </c>
    </row>
    <row r="1053">
      <c r="A1053" s="1" t="s">
        <v>407</v>
      </c>
      <c r="B1053" s="3">
        <v>31.0</v>
      </c>
      <c r="C1053" s="3">
        <v>60.0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2" t="str">
        <f>IFERROR(__xludf.DUMMYFUNCTION("INDEX(SPLIT(A1053, ""/""), 0, 2)"),"regex")</f>
        <v>regex</v>
      </c>
      <c r="J1053" s="2" t="b">
        <f t="shared" si="1"/>
        <v>0</v>
      </c>
    </row>
    <row r="1054">
      <c r="A1054" s="1" t="s">
        <v>408</v>
      </c>
      <c r="B1054" s="3">
        <v>73.0</v>
      </c>
      <c r="C1054" s="3">
        <v>60.0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2" t="str">
        <f>IFERROR(__xludf.DUMMYFUNCTION("INDEX(SPLIT(A1054, ""/""), 0, 2)"),"regex")</f>
        <v>regex</v>
      </c>
      <c r="J1054" s="2" t="b">
        <f t="shared" si="1"/>
        <v>0</v>
      </c>
    </row>
    <row r="1055">
      <c r="A1055" s="1" t="s">
        <v>409</v>
      </c>
      <c r="B1055" s="3">
        <v>14.0</v>
      </c>
      <c r="C1055" s="3">
        <v>60.0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2" t="str">
        <f>IFERROR(__xludf.DUMMYFUNCTION("INDEX(SPLIT(A1055, ""/""), 0, 2)"),"regex")</f>
        <v>regex</v>
      </c>
      <c r="J1055" s="2" t="b">
        <f t="shared" si="1"/>
        <v>0</v>
      </c>
    </row>
    <row r="1056">
      <c r="A1056" s="1" t="s">
        <v>410</v>
      </c>
      <c r="B1056" s="3">
        <v>60.0</v>
      </c>
      <c r="C1056" s="3">
        <v>60.0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2" t="str">
        <f>IFERROR(__xludf.DUMMYFUNCTION("INDEX(SPLIT(A1056, ""/""), 0, 2)"),"regex")</f>
        <v>regex</v>
      </c>
      <c r="J1056" s="2" t="b">
        <f t="shared" si="1"/>
        <v>0</v>
      </c>
    </row>
    <row r="1057">
      <c r="A1057" s="1" t="s">
        <v>411</v>
      </c>
      <c r="B1057" s="3">
        <v>23.0</v>
      </c>
      <c r="C1057" s="3">
        <v>60.0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2" t="str">
        <f>IFERROR(__xludf.DUMMYFUNCTION("INDEX(SPLIT(A1057, ""/""), 0, 2)"),"regex")</f>
        <v>regex</v>
      </c>
      <c r="J1057" s="2" t="b">
        <f t="shared" si="1"/>
        <v>0</v>
      </c>
    </row>
    <row r="1058">
      <c r="A1058" s="1" t="s">
        <v>412</v>
      </c>
      <c r="B1058" s="3">
        <v>43.0</v>
      </c>
      <c r="C1058" s="3">
        <v>60.0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2" t="str">
        <f>IFERROR(__xludf.DUMMYFUNCTION("INDEX(SPLIT(A1058, ""/""), 0, 2)"),"regex")</f>
        <v>regex</v>
      </c>
      <c r="J1058" s="2" t="b">
        <f t="shared" si="1"/>
        <v>0</v>
      </c>
    </row>
    <row r="1059">
      <c r="A1059" s="1" t="s">
        <v>413</v>
      </c>
      <c r="B1059" s="3">
        <v>35.0</v>
      </c>
      <c r="C1059" s="3">
        <v>60.0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2" t="str">
        <f>IFERROR(__xludf.DUMMYFUNCTION("INDEX(SPLIT(A1059, ""/""), 0, 2)"),"regex")</f>
        <v>regex</v>
      </c>
      <c r="J1059" s="2" t="b">
        <f t="shared" si="1"/>
        <v>0</v>
      </c>
    </row>
    <row r="1060">
      <c r="A1060" s="1" t="s">
        <v>414</v>
      </c>
      <c r="B1060" s="3">
        <v>468.0</v>
      </c>
      <c r="C1060" s="3">
        <v>60.0</v>
      </c>
      <c r="D1060" s="3">
        <v>6.0</v>
      </c>
      <c r="E1060" s="3">
        <v>0.0</v>
      </c>
      <c r="F1060" s="3">
        <v>0.0</v>
      </c>
      <c r="G1060" s="3">
        <v>1.0</v>
      </c>
      <c r="H1060" s="3">
        <v>0.0</v>
      </c>
      <c r="I1060" s="2" t="str">
        <f>IFERROR(__xludf.DUMMYFUNCTION("INDEX(SPLIT(A1060, ""/""), 0, 2)"),"regex")</f>
        <v>regex</v>
      </c>
      <c r="J1060" s="2" t="b">
        <f t="shared" si="1"/>
        <v>0</v>
      </c>
    </row>
    <row r="1061">
      <c r="A1061" s="1" t="s">
        <v>415</v>
      </c>
      <c r="B1061" s="3">
        <v>7.0</v>
      </c>
      <c r="C1061" s="3">
        <v>60.0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2" t="str">
        <f>IFERROR(__xludf.DUMMYFUNCTION("INDEX(SPLIT(A1061, ""/""), 0, 2)"),"regex")</f>
        <v>regex</v>
      </c>
      <c r="J1061" s="2" t="b">
        <f t="shared" si="1"/>
        <v>0</v>
      </c>
    </row>
    <row r="1062">
      <c r="A1062" s="1" t="s">
        <v>416</v>
      </c>
      <c r="B1062" s="3">
        <v>98.0</v>
      </c>
      <c r="C1062" s="3">
        <v>60.0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2" t="str">
        <f>IFERROR(__xludf.DUMMYFUNCTION("INDEX(SPLIT(A1062, ""/""), 0, 2)"),"regex")</f>
        <v>regex</v>
      </c>
      <c r="J1062" s="2" t="b">
        <f t="shared" si="1"/>
        <v>0</v>
      </c>
    </row>
    <row r="1063">
      <c r="A1063" s="1" t="s">
        <v>417</v>
      </c>
      <c r="B1063" s="3">
        <v>24.0</v>
      </c>
      <c r="C1063" s="3">
        <v>60.0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2" t="str">
        <f>IFERROR(__xludf.DUMMYFUNCTION("INDEX(SPLIT(A1063, ""/""), 0, 2)"),"regex")</f>
        <v>regex</v>
      </c>
      <c r="J1063" s="2" t="b">
        <f t="shared" si="1"/>
        <v>0</v>
      </c>
    </row>
    <row r="1064">
      <c r="A1064" s="1" t="s">
        <v>418</v>
      </c>
      <c r="B1064" s="3">
        <v>7.0</v>
      </c>
      <c r="C1064" s="3">
        <v>60.0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2" t="str">
        <f>IFERROR(__xludf.DUMMYFUNCTION("INDEX(SPLIT(A1064, ""/""), 0, 2)"),"regex")</f>
        <v>regex</v>
      </c>
      <c r="J1064" s="2" t="b">
        <f t="shared" si="1"/>
        <v>0</v>
      </c>
    </row>
    <row r="1065">
      <c r="A1065" s="1" t="s">
        <v>419</v>
      </c>
      <c r="B1065" s="3">
        <v>12.0</v>
      </c>
      <c r="C1065" s="3">
        <v>60.0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2" t="str">
        <f>IFERROR(__xludf.DUMMYFUNCTION("INDEX(SPLIT(A1065, ""/""), 0, 2)"),"regex")</f>
        <v>regex</v>
      </c>
      <c r="J1065" s="2" t="b">
        <f t="shared" si="1"/>
        <v>0</v>
      </c>
    </row>
    <row r="1066">
      <c r="A1066" s="1" t="s">
        <v>420</v>
      </c>
      <c r="B1066" s="3">
        <v>32.0</v>
      </c>
      <c r="C1066" s="3">
        <v>60.0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2" t="str">
        <f>IFERROR(__xludf.DUMMYFUNCTION("INDEX(SPLIT(A1066, ""/""), 0, 2)"),"regex")</f>
        <v>regex</v>
      </c>
      <c r="J1066" s="2" t="b">
        <f t="shared" si="1"/>
        <v>0</v>
      </c>
    </row>
    <row r="1067">
      <c r="A1067" s="1" t="s">
        <v>421</v>
      </c>
      <c r="B1067" s="3">
        <v>41.0</v>
      </c>
      <c r="C1067" s="3">
        <v>60.0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2" t="str">
        <f>IFERROR(__xludf.DUMMYFUNCTION("INDEX(SPLIT(A1067, ""/""), 0, 2)"),"regex")</f>
        <v>regex</v>
      </c>
      <c r="J1067" s="2" t="b">
        <f t="shared" si="1"/>
        <v>0</v>
      </c>
    </row>
    <row r="1068">
      <c r="A1068" s="1" t="s">
        <v>422</v>
      </c>
      <c r="B1068" s="3">
        <v>81.0</v>
      </c>
      <c r="C1068" s="3">
        <v>60.0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2" t="str">
        <f>IFERROR(__xludf.DUMMYFUNCTION("INDEX(SPLIT(A1068, ""/""), 0, 2)"),"regex")</f>
        <v>regex</v>
      </c>
      <c r="J1068" s="2" t="b">
        <f t="shared" si="1"/>
        <v>0</v>
      </c>
    </row>
    <row r="1069">
      <c r="A1069" s="1" t="s">
        <v>423</v>
      </c>
      <c r="B1069" s="3">
        <v>33.0</v>
      </c>
      <c r="C1069" s="3">
        <v>60.0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2" t="str">
        <f>IFERROR(__xludf.DUMMYFUNCTION("INDEX(SPLIT(A1069, ""/""), 0, 2)"),"regex")</f>
        <v>regex</v>
      </c>
      <c r="J1069" s="2" t="b">
        <f t="shared" si="1"/>
        <v>0</v>
      </c>
    </row>
    <row r="1070">
      <c r="A1070" s="1" t="s">
        <v>424</v>
      </c>
      <c r="B1070" s="3">
        <v>63.0</v>
      </c>
      <c r="C1070" s="3">
        <v>60.0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2" t="str">
        <f>IFERROR(__xludf.DUMMYFUNCTION("INDEX(SPLIT(A1070, ""/""), 0, 2)"),"regex")</f>
        <v>regex</v>
      </c>
      <c r="J1070" s="2" t="b">
        <f t="shared" si="1"/>
        <v>0</v>
      </c>
    </row>
    <row r="1071">
      <c r="A1071" s="1" t="s">
        <v>425</v>
      </c>
      <c r="B1071" s="3">
        <v>8.0</v>
      </c>
      <c r="C1071" s="3">
        <v>60.0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2" t="str">
        <f>IFERROR(__xludf.DUMMYFUNCTION("INDEX(SPLIT(A1071, ""/""), 0, 2)"),"regex")</f>
        <v>regex</v>
      </c>
      <c r="J1071" s="2" t="b">
        <f t="shared" si="1"/>
        <v>0</v>
      </c>
    </row>
    <row r="1072">
      <c r="A1072" s="1" t="s">
        <v>426</v>
      </c>
      <c r="B1072" s="3">
        <v>4.0</v>
      </c>
      <c r="C1072" s="3">
        <v>60.0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2" t="str">
        <f>IFERROR(__xludf.DUMMYFUNCTION("INDEX(SPLIT(A1072, ""/""), 0, 2)"),"regex")</f>
        <v>regex</v>
      </c>
      <c r="J1072" s="2" t="b">
        <f t="shared" si="1"/>
        <v>0</v>
      </c>
    </row>
    <row r="1073">
      <c r="A1073" s="1" t="s">
        <v>427</v>
      </c>
      <c r="B1073" s="3">
        <v>8.0</v>
      </c>
      <c r="C1073" s="3">
        <v>60.0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2" t="str">
        <f>IFERROR(__xludf.DUMMYFUNCTION("INDEX(SPLIT(A1073, ""/""), 0, 2)"),"regex")</f>
        <v>regex</v>
      </c>
      <c r="J1073" s="2" t="b">
        <f t="shared" si="1"/>
        <v>0</v>
      </c>
    </row>
    <row r="1074">
      <c r="A1074" s="1" t="s">
        <v>428</v>
      </c>
      <c r="B1074" s="3">
        <v>351.0</v>
      </c>
      <c r="C1074" s="3">
        <v>60.0</v>
      </c>
      <c r="D1074" s="3">
        <v>2.0</v>
      </c>
      <c r="E1074" s="3">
        <v>0.0</v>
      </c>
      <c r="F1074" s="3">
        <v>0.0</v>
      </c>
      <c r="G1074" s="3">
        <v>0.0</v>
      </c>
      <c r="H1074" s="3">
        <v>0.0</v>
      </c>
      <c r="I1074" s="2" t="str">
        <f>IFERROR(__xludf.DUMMYFUNCTION("INDEX(SPLIT(A1074, ""/""), 0, 2)"),"regex")</f>
        <v>regex</v>
      </c>
      <c r="J1074" s="2" t="b">
        <f t="shared" si="1"/>
        <v>0</v>
      </c>
    </row>
    <row r="1075">
      <c r="A1075" s="1" t="s">
        <v>429</v>
      </c>
      <c r="B1075" s="3">
        <v>63.0</v>
      </c>
      <c r="C1075" s="3">
        <v>60.0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2" t="str">
        <f>IFERROR(__xludf.DUMMYFUNCTION("INDEX(SPLIT(A1075, ""/""), 0, 2)"),"regex")</f>
        <v>regex</v>
      </c>
      <c r="J1075" s="2" t="b">
        <f t="shared" si="1"/>
        <v>0</v>
      </c>
    </row>
    <row r="1076">
      <c r="A1076" s="1" t="s">
        <v>430</v>
      </c>
      <c r="B1076" s="3">
        <v>14.0</v>
      </c>
      <c r="C1076" s="3">
        <v>60.0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2" t="str">
        <f>IFERROR(__xludf.DUMMYFUNCTION("INDEX(SPLIT(A1076, ""/""), 0, 2)"),"regex")</f>
        <v>regex</v>
      </c>
      <c r="J1076" s="2" t="b">
        <f t="shared" si="1"/>
        <v>0</v>
      </c>
    </row>
    <row r="1077">
      <c r="A1077" s="1" t="s">
        <v>431</v>
      </c>
      <c r="B1077" s="3">
        <v>30.0</v>
      </c>
      <c r="C1077" s="3">
        <v>60.0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2" t="str">
        <f>IFERROR(__xludf.DUMMYFUNCTION("INDEX(SPLIT(A1077, ""/""), 0, 2)"),"regex")</f>
        <v>regex</v>
      </c>
      <c r="J1077" s="2" t="b">
        <f t="shared" si="1"/>
        <v>0</v>
      </c>
    </row>
    <row r="1078">
      <c r="A1078" s="1" t="s">
        <v>432</v>
      </c>
      <c r="B1078" s="3">
        <v>62.0</v>
      </c>
      <c r="C1078" s="3">
        <v>60.0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2" t="str">
        <f>IFERROR(__xludf.DUMMYFUNCTION("INDEX(SPLIT(A1078, ""/""), 0, 2)"),"regex")</f>
        <v>regex</v>
      </c>
      <c r="J1078" s="2" t="b">
        <f t="shared" si="1"/>
        <v>0</v>
      </c>
    </row>
    <row r="1079">
      <c r="A1079" s="1" t="s">
        <v>433</v>
      </c>
      <c r="B1079" s="3">
        <v>12.0</v>
      </c>
      <c r="C1079" s="3">
        <v>60.0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2" t="str">
        <f>IFERROR(__xludf.DUMMYFUNCTION("INDEX(SPLIT(A1079, ""/""), 0, 2)"),"regex")</f>
        <v>regex</v>
      </c>
      <c r="J1079" s="2" t="b">
        <f t="shared" si="1"/>
        <v>0</v>
      </c>
    </row>
    <row r="1080">
      <c r="A1080" s="1" t="s">
        <v>434</v>
      </c>
      <c r="B1080" s="3">
        <v>89.0</v>
      </c>
      <c r="C1080" s="3">
        <v>60.0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2" t="str">
        <f>IFERROR(__xludf.DUMMYFUNCTION("INDEX(SPLIT(A1080, ""/""), 0, 2)"),"regex")</f>
        <v>regex</v>
      </c>
      <c r="J1080" s="2" t="b">
        <f t="shared" si="1"/>
        <v>0</v>
      </c>
    </row>
    <row r="1081">
      <c r="A1081" s="1" t="s">
        <v>435</v>
      </c>
      <c r="B1081" s="3">
        <v>50.0</v>
      </c>
      <c r="C1081" s="3">
        <v>60.0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2" t="str">
        <f>IFERROR(__xludf.DUMMYFUNCTION("INDEX(SPLIT(A1081, ""/""), 0, 2)"),"regex")</f>
        <v>regex</v>
      </c>
      <c r="J1081" s="2" t="b">
        <f t="shared" si="1"/>
        <v>0</v>
      </c>
    </row>
    <row r="1082">
      <c r="A1082" s="1" t="s">
        <v>436</v>
      </c>
      <c r="B1082" s="3">
        <v>24.0</v>
      </c>
      <c r="C1082" s="3">
        <v>60.0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2" t="str">
        <f>IFERROR(__xludf.DUMMYFUNCTION("INDEX(SPLIT(A1082, ""/""), 0, 2)"),"regex")</f>
        <v>regex</v>
      </c>
      <c r="J1082" s="2" t="b">
        <f t="shared" si="1"/>
        <v>0</v>
      </c>
    </row>
    <row r="1083">
      <c r="A1083" s="1" t="s">
        <v>437</v>
      </c>
      <c r="B1083" s="3">
        <v>5.0</v>
      </c>
      <c r="C1083" s="3">
        <v>60.0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2" t="str">
        <f>IFERROR(__xludf.DUMMYFUNCTION("INDEX(SPLIT(A1083, ""/""), 0, 2)"),"regex")</f>
        <v>regex</v>
      </c>
      <c r="J1083" s="2" t="b">
        <f t="shared" si="1"/>
        <v>0</v>
      </c>
    </row>
    <row r="1084">
      <c r="A1084" s="1" t="s">
        <v>438</v>
      </c>
      <c r="B1084" s="3">
        <v>5.0</v>
      </c>
      <c r="C1084" s="3">
        <v>60.0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2" t="str">
        <f>IFERROR(__xludf.DUMMYFUNCTION("INDEX(SPLIT(A1084, ""/""), 0, 2)"),"regex")</f>
        <v>regex</v>
      </c>
      <c r="J1084" s="2" t="b">
        <f t="shared" si="1"/>
        <v>0</v>
      </c>
    </row>
    <row r="1085">
      <c r="A1085" s="1" t="s">
        <v>439</v>
      </c>
      <c r="B1085" s="3">
        <v>130.0</v>
      </c>
      <c r="C1085" s="3">
        <v>60.0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2" t="str">
        <f>IFERROR(__xludf.DUMMYFUNCTION("INDEX(SPLIT(A1085, ""/""), 0, 2)"),"regex")</f>
        <v>regex</v>
      </c>
      <c r="J1085" s="2" t="b">
        <f t="shared" si="1"/>
        <v>0</v>
      </c>
    </row>
    <row r="1086">
      <c r="A1086" s="1" t="s">
        <v>440</v>
      </c>
      <c r="B1086" s="3">
        <v>26.0</v>
      </c>
      <c r="C1086" s="3">
        <v>60.0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2" t="str">
        <f>IFERROR(__xludf.DUMMYFUNCTION("INDEX(SPLIT(A1086, ""/""), 0, 2)"),"regex")</f>
        <v>regex</v>
      </c>
      <c r="J1086" s="2" t="b">
        <f t="shared" si="1"/>
        <v>0</v>
      </c>
    </row>
    <row r="1087">
      <c r="A1087" s="1" t="s">
        <v>441</v>
      </c>
      <c r="B1087" s="3">
        <v>19.0</v>
      </c>
      <c r="C1087" s="3">
        <v>60.0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2" t="str">
        <f>IFERROR(__xludf.DUMMYFUNCTION("INDEX(SPLIT(A1087, ""/""), 0, 2)"),"regex")</f>
        <v>regex</v>
      </c>
      <c r="J1087" s="2" t="b">
        <f t="shared" si="1"/>
        <v>0</v>
      </c>
    </row>
    <row r="1088">
      <c r="A1088" s="1" t="s">
        <v>442</v>
      </c>
      <c r="B1088" s="3">
        <v>33.0</v>
      </c>
      <c r="C1088" s="3">
        <v>60.0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2" t="str">
        <f>IFERROR(__xludf.DUMMYFUNCTION("INDEX(SPLIT(A1088, ""/""), 0, 2)"),"regex")</f>
        <v>regex</v>
      </c>
      <c r="J1088" s="2" t="b">
        <f t="shared" si="1"/>
        <v>0</v>
      </c>
    </row>
    <row r="1089">
      <c r="A1089" s="1" t="s">
        <v>443</v>
      </c>
      <c r="B1089" s="3">
        <v>17.0</v>
      </c>
      <c r="C1089" s="3">
        <v>60.0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2" t="str">
        <f>IFERROR(__xludf.DUMMYFUNCTION("INDEX(SPLIT(A1089, ""/""), 0, 2)"),"regex")</f>
        <v>regex</v>
      </c>
      <c r="J1089" s="2" t="b">
        <f t="shared" si="1"/>
        <v>0</v>
      </c>
    </row>
    <row r="1090">
      <c r="A1090" s="1" t="s">
        <v>444</v>
      </c>
      <c r="B1090" s="3">
        <v>31.0</v>
      </c>
      <c r="C1090" s="3">
        <v>60.0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2" t="str">
        <f>IFERROR(__xludf.DUMMYFUNCTION("INDEX(SPLIT(A1090, ""/""), 0, 2)"),"regex")</f>
        <v>regex</v>
      </c>
      <c r="J1090" s="2" t="b">
        <f t="shared" si="1"/>
        <v>0</v>
      </c>
    </row>
    <row r="1091">
      <c r="A1091" s="1" t="s">
        <v>445</v>
      </c>
      <c r="B1091" s="3">
        <v>451.0</v>
      </c>
      <c r="C1091" s="3">
        <v>60.0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2" t="str">
        <f>IFERROR(__xludf.DUMMYFUNCTION("INDEX(SPLIT(A1091, ""/""), 0, 2)"),"regex")</f>
        <v>regex</v>
      </c>
      <c r="J1091" s="2" t="b">
        <f t="shared" si="1"/>
        <v>0</v>
      </c>
    </row>
    <row r="1092">
      <c r="A1092" s="1" t="s">
        <v>446</v>
      </c>
      <c r="B1092" s="3">
        <v>24.0</v>
      </c>
      <c r="C1092" s="3">
        <v>60.0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2" t="str">
        <f>IFERROR(__xludf.DUMMYFUNCTION("INDEX(SPLIT(A1092, ""/""), 0, 2)"),"regex")</f>
        <v>regex</v>
      </c>
      <c r="J1092" s="2" t="b">
        <f t="shared" si="1"/>
        <v>0</v>
      </c>
    </row>
    <row r="1093">
      <c r="A1093" s="1" t="s">
        <v>447</v>
      </c>
      <c r="B1093" s="3">
        <v>141.0</v>
      </c>
      <c r="C1093" s="3">
        <v>60.0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2" t="str">
        <f>IFERROR(__xludf.DUMMYFUNCTION("INDEX(SPLIT(A1093, ""/""), 0, 2)"),"regex")</f>
        <v>regex</v>
      </c>
      <c r="J1093" s="2" t="b">
        <f t="shared" si="1"/>
        <v>0</v>
      </c>
    </row>
    <row r="1094">
      <c r="A1094" s="1" t="s">
        <v>448</v>
      </c>
      <c r="B1094" s="3">
        <v>668.0</v>
      </c>
      <c r="C1094" s="3">
        <v>60.0</v>
      </c>
      <c r="D1094" s="3">
        <v>4.0</v>
      </c>
      <c r="E1094" s="3">
        <v>0.0</v>
      </c>
      <c r="F1094" s="3">
        <v>0.0</v>
      </c>
      <c r="G1094" s="3">
        <v>1.0</v>
      </c>
      <c r="H1094" s="3">
        <v>0.0</v>
      </c>
      <c r="I1094" s="2" t="str">
        <f>IFERROR(__xludf.DUMMYFUNCTION("INDEX(SPLIT(A1094, ""/""), 0, 2)"),"regex")</f>
        <v>regex</v>
      </c>
      <c r="J1094" s="2" t="b">
        <f t="shared" si="1"/>
        <v>0</v>
      </c>
    </row>
    <row r="1095">
      <c r="A1095" s="1" t="s">
        <v>449</v>
      </c>
      <c r="B1095" s="3">
        <v>175.0</v>
      </c>
      <c r="C1095" s="3">
        <v>60.0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2" t="str">
        <f>IFERROR(__xludf.DUMMYFUNCTION("INDEX(SPLIT(A1095, ""/""), 0, 2)"),"regex")</f>
        <v>regex</v>
      </c>
      <c r="J1095" s="2" t="b">
        <f t="shared" si="1"/>
        <v>0</v>
      </c>
    </row>
    <row r="1096">
      <c r="A1096" s="1" t="s">
        <v>450</v>
      </c>
      <c r="B1096" s="3">
        <v>48.0</v>
      </c>
      <c r="C1096" s="3">
        <v>60.0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2" t="str">
        <f>IFERROR(__xludf.DUMMYFUNCTION("INDEX(SPLIT(A1096, ""/""), 0, 2)"),"regex")</f>
        <v>regex</v>
      </c>
      <c r="J1096" s="2" t="b">
        <f t="shared" si="1"/>
        <v>0</v>
      </c>
    </row>
    <row r="1097">
      <c r="A1097" s="1" t="s">
        <v>451</v>
      </c>
      <c r="B1097" s="3">
        <v>41.0</v>
      </c>
      <c r="C1097" s="3">
        <v>60.0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2" t="str">
        <f>IFERROR(__xludf.DUMMYFUNCTION("INDEX(SPLIT(A1097, ""/""), 0, 2)"),"regex")</f>
        <v>regex</v>
      </c>
      <c r="J1097" s="2" t="b">
        <f t="shared" si="1"/>
        <v>0</v>
      </c>
    </row>
    <row r="1098">
      <c r="A1098" s="1" t="s">
        <v>452</v>
      </c>
      <c r="B1098" s="3">
        <v>10.0</v>
      </c>
      <c r="C1098" s="3">
        <v>60.0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  <c r="I1098" s="2" t="str">
        <f>IFERROR(__xludf.DUMMYFUNCTION("INDEX(SPLIT(A1098, ""/""), 0, 2)"),"regex")</f>
        <v>regex</v>
      </c>
      <c r="J1098" s="2" t="b">
        <f t="shared" si="1"/>
        <v>0</v>
      </c>
    </row>
    <row r="1099">
      <c r="A1099" s="1" t="s">
        <v>453</v>
      </c>
      <c r="B1099" s="3">
        <v>201.0</v>
      </c>
      <c r="C1099" s="3">
        <v>60.0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2" t="str">
        <f>IFERROR(__xludf.DUMMYFUNCTION("INDEX(SPLIT(A1099, ""/""), 0, 2)"),"regex")</f>
        <v>regex</v>
      </c>
      <c r="J1099" s="2" t="b">
        <f t="shared" si="1"/>
        <v>0</v>
      </c>
    </row>
    <row r="1100">
      <c r="A1100" s="1" t="s">
        <v>454</v>
      </c>
      <c r="B1100" s="3">
        <v>52.0</v>
      </c>
      <c r="C1100" s="3">
        <v>60.0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2" t="str">
        <f>IFERROR(__xludf.DUMMYFUNCTION("INDEX(SPLIT(A1100, ""/""), 0, 2)"),"regex")</f>
        <v>regex</v>
      </c>
      <c r="J1100" s="2" t="b">
        <f t="shared" si="1"/>
        <v>0</v>
      </c>
    </row>
    <row r="1101">
      <c r="A1101" s="1" t="s">
        <v>455</v>
      </c>
      <c r="B1101" s="3">
        <v>40.0</v>
      </c>
      <c r="C1101" s="3">
        <v>60.0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2" t="str">
        <f>IFERROR(__xludf.DUMMYFUNCTION("INDEX(SPLIT(A1101, ""/""), 0, 2)"),"regex")</f>
        <v>regex</v>
      </c>
      <c r="J1101" s="2" t="b">
        <f t="shared" si="1"/>
        <v>0</v>
      </c>
    </row>
    <row r="1102">
      <c r="A1102" s="1" t="s">
        <v>456</v>
      </c>
      <c r="B1102" s="3">
        <v>54.0</v>
      </c>
      <c r="C1102" s="3">
        <v>60.0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2" t="str">
        <f>IFERROR(__xludf.DUMMYFUNCTION("INDEX(SPLIT(A1102, ""/""), 0, 2)"),"regex")</f>
        <v>regex</v>
      </c>
      <c r="J1102" s="2" t="b">
        <f t="shared" si="1"/>
        <v>0</v>
      </c>
    </row>
    <row r="1103">
      <c r="A1103" s="1" t="s">
        <v>457</v>
      </c>
      <c r="B1103" s="3">
        <v>27.0</v>
      </c>
      <c r="C1103" s="3">
        <v>60.0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2" t="str">
        <f>IFERROR(__xludf.DUMMYFUNCTION("INDEX(SPLIT(A1103, ""/""), 0, 2)"),"regex")</f>
        <v>regex</v>
      </c>
      <c r="J1103" s="2" t="b">
        <f t="shared" si="1"/>
        <v>0</v>
      </c>
    </row>
    <row r="1104">
      <c r="A1104" s="1" t="s">
        <v>458</v>
      </c>
      <c r="B1104" s="3">
        <v>14.0</v>
      </c>
      <c r="C1104" s="3">
        <v>60.0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2" t="str">
        <f>IFERROR(__xludf.DUMMYFUNCTION("INDEX(SPLIT(A1104, ""/""), 0, 2)"),"regex")</f>
        <v>regex</v>
      </c>
      <c r="J1104" s="2" t="b">
        <f t="shared" si="1"/>
        <v>0</v>
      </c>
    </row>
    <row r="1105">
      <c r="A1105" s="1" t="s">
        <v>459</v>
      </c>
      <c r="B1105" s="3">
        <v>59.0</v>
      </c>
      <c r="C1105" s="3">
        <v>60.0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2" t="str">
        <f>IFERROR(__xludf.DUMMYFUNCTION("INDEX(SPLIT(A1105, ""/""), 0, 2)"),"regex")</f>
        <v>regex</v>
      </c>
      <c r="J1105" s="2" t="b">
        <f t="shared" si="1"/>
        <v>0</v>
      </c>
    </row>
    <row r="1106">
      <c r="A1106" s="1" t="s">
        <v>460</v>
      </c>
      <c r="B1106" s="3">
        <v>34.0</v>
      </c>
      <c r="C1106" s="3">
        <v>60.0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2" t="str">
        <f>IFERROR(__xludf.DUMMYFUNCTION("INDEX(SPLIT(A1106, ""/""), 0, 2)"),"regex")</f>
        <v>regex</v>
      </c>
      <c r="J1106" s="2" t="b">
        <f t="shared" si="1"/>
        <v>0</v>
      </c>
    </row>
    <row r="1107">
      <c r="A1107" s="1" t="s">
        <v>461</v>
      </c>
      <c r="B1107" s="3">
        <v>56.0</v>
      </c>
      <c r="C1107" s="3">
        <v>60.0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2" t="str">
        <f>IFERROR(__xludf.DUMMYFUNCTION("INDEX(SPLIT(A1107, ""/""), 0, 2)"),"regex")</f>
        <v>regex</v>
      </c>
      <c r="J1107" s="2" t="b">
        <f t="shared" si="1"/>
        <v>0</v>
      </c>
    </row>
    <row r="1108">
      <c r="A1108" s="1" t="s">
        <v>462</v>
      </c>
      <c r="B1108" s="3">
        <v>40.0</v>
      </c>
      <c r="C1108" s="3">
        <v>60.0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2" t="str">
        <f>IFERROR(__xludf.DUMMYFUNCTION("INDEX(SPLIT(A1108, ""/""), 0, 2)"),"regex")</f>
        <v>regex</v>
      </c>
      <c r="J1108" s="2" t="b">
        <f t="shared" si="1"/>
        <v>0</v>
      </c>
    </row>
    <row r="1109">
      <c r="A1109" s="1" t="s">
        <v>463</v>
      </c>
      <c r="B1109" s="3">
        <v>59.0</v>
      </c>
      <c r="C1109" s="3">
        <v>60.0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2" t="str">
        <f>IFERROR(__xludf.DUMMYFUNCTION("INDEX(SPLIT(A1109, ""/""), 0, 2)"),"regex")</f>
        <v>regex</v>
      </c>
      <c r="J1109" s="2" t="b">
        <f t="shared" si="1"/>
        <v>0</v>
      </c>
    </row>
    <row r="1110">
      <c r="A1110" s="1" t="s">
        <v>464</v>
      </c>
      <c r="B1110" s="3">
        <v>72.0</v>
      </c>
      <c r="C1110" s="3">
        <v>60.0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2" t="str">
        <f>IFERROR(__xludf.DUMMYFUNCTION("INDEX(SPLIT(A1110, ""/""), 0, 2)"),"regex")</f>
        <v>regex</v>
      </c>
      <c r="J1110" s="2" t="b">
        <f t="shared" si="1"/>
        <v>0</v>
      </c>
    </row>
    <row r="1111">
      <c r="A1111" s="1" t="s">
        <v>465</v>
      </c>
      <c r="B1111" s="3">
        <v>34.0</v>
      </c>
      <c r="C1111" s="3">
        <v>60.0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2" t="str">
        <f>IFERROR(__xludf.DUMMYFUNCTION("INDEX(SPLIT(A1111, ""/""), 0, 2)"),"regex")</f>
        <v>regex</v>
      </c>
      <c r="J1111" s="2" t="b">
        <f t="shared" si="1"/>
        <v>0</v>
      </c>
    </row>
    <row r="1112">
      <c r="A1112" s="1" t="s">
        <v>466</v>
      </c>
      <c r="B1112" s="3">
        <v>110.0</v>
      </c>
      <c r="C1112" s="3">
        <v>60.0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2" t="str">
        <f>IFERROR(__xludf.DUMMYFUNCTION("INDEX(SPLIT(A1112, ""/""), 0, 2)"),"regex")</f>
        <v>regex</v>
      </c>
      <c r="J1112" s="2" t="b">
        <f t="shared" si="1"/>
        <v>0</v>
      </c>
    </row>
    <row r="1113">
      <c r="A1113" s="1" t="s">
        <v>467</v>
      </c>
      <c r="B1113" s="3">
        <v>26.0</v>
      </c>
      <c r="C1113" s="3">
        <v>60.0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2" t="str">
        <f>IFERROR(__xludf.DUMMYFUNCTION("INDEX(SPLIT(A1113, ""/""), 0, 2)"),"regex")</f>
        <v>regex</v>
      </c>
      <c r="J1113" s="2" t="b">
        <f t="shared" si="1"/>
        <v>0</v>
      </c>
    </row>
    <row r="1114">
      <c r="A1114" s="1" t="s">
        <v>468</v>
      </c>
      <c r="B1114" s="3">
        <v>172.0</v>
      </c>
      <c r="C1114" s="3">
        <v>60.0</v>
      </c>
      <c r="D1114" s="3">
        <v>0.0</v>
      </c>
      <c r="E1114" s="3">
        <v>0.0</v>
      </c>
      <c r="F1114" s="3">
        <v>0.0</v>
      </c>
      <c r="G1114" s="3">
        <v>0.0</v>
      </c>
      <c r="H1114" s="3">
        <v>0.0</v>
      </c>
      <c r="I1114" s="2" t="str">
        <f>IFERROR(__xludf.DUMMYFUNCTION("INDEX(SPLIT(A1114, ""/""), 0, 2)"),"regex")</f>
        <v>regex</v>
      </c>
      <c r="J1114" s="2" t="b">
        <f t="shared" si="1"/>
        <v>0</v>
      </c>
    </row>
    <row r="1115">
      <c r="A1115" s="1" t="s">
        <v>469</v>
      </c>
      <c r="B1115" s="3">
        <v>47.0</v>
      </c>
      <c r="C1115" s="3">
        <v>60.0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2" t="str">
        <f>IFERROR(__xludf.DUMMYFUNCTION("INDEX(SPLIT(A1115, ""/""), 0, 2)"),"regex")</f>
        <v>regex</v>
      </c>
      <c r="J1115" s="2" t="b">
        <f t="shared" si="1"/>
        <v>0</v>
      </c>
    </row>
    <row r="1116">
      <c r="A1116" s="1" t="s">
        <v>470</v>
      </c>
      <c r="B1116" s="3">
        <v>13.0</v>
      </c>
      <c r="C1116" s="3">
        <v>60.0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2" t="str">
        <f>IFERROR(__xludf.DUMMYFUNCTION("INDEX(SPLIT(A1116, ""/""), 0, 2)"),"regex")</f>
        <v>regex</v>
      </c>
      <c r="J1116" s="2" t="b">
        <f t="shared" si="1"/>
        <v>0</v>
      </c>
    </row>
    <row r="1117">
      <c r="A1117" s="1" t="s">
        <v>471</v>
      </c>
      <c r="B1117" s="3">
        <v>9.0</v>
      </c>
      <c r="C1117" s="3">
        <v>60.0</v>
      </c>
      <c r="D1117" s="3">
        <v>0.0</v>
      </c>
      <c r="E1117" s="3">
        <v>0.0</v>
      </c>
      <c r="F1117" s="3">
        <v>0.0</v>
      </c>
      <c r="G1117" s="3">
        <v>0.0</v>
      </c>
      <c r="H1117" s="3">
        <v>0.0</v>
      </c>
      <c r="I1117" s="2" t="str">
        <f>IFERROR(__xludf.DUMMYFUNCTION("INDEX(SPLIT(A1117, ""/""), 0, 2)"),"regex")</f>
        <v>regex</v>
      </c>
      <c r="J1117" s="2" t="b">
        <f t="shared" si="1"/>
        <v>0</v>
      </c>
    </row>
    <row r="1118">
      <c r="A1118" s="1" t="s">
        <v>472</v>
      </c>
      <c r="B1118" s="3">
        <v>34.0</v>
      </c>
      <c r="C1118" s="3">
        <v>60.0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2" t="str">
        <f>IFERROR(__xludf.DUMMYFUNCTION("INDEX(SPLIT(A1118, ""/""), 0, 2)"),"regex")</f>
        <v>regex</v>
      </c>
      <c r="J1118" s="2" t="b">
        <f t="shared" si="1"/>
        <v>0</v>
      </c>
    </row>
    <row r="1119">
      <c r="A1119" s="1" t="s">
        <v>473</v>
      </c>
      <c r="B1119" s="3">
        <v>17.0</v>
      </c>
      <c r="C1119" s="3">
        <v>60.0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2" t="str">
        <f>IFERROR(__xludf.DUMMYFUNCTION("INDEX(SPLIT(A1119, ""/""), 0, 2)"),"regex")</f>
        <v>regex</v>
      </c>
      <c r="J1119" s="2" t="b">
        <f t="shared" si="1"/>
        <v>0</v>
      </c>
    </row>
    <row r="1120">
      <c r="A1120" s="1" t="s">
        <v>474</v>
      </c>
      <c r="B1120" s="3">
        <v>13.0</v>
      </c>
      <c r="C1120" s="3">
        <v>60.0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2" t="str">
        <f>IFERROR(__xludf.DUMMYFUNCTION("INDEX(SPLIT(A1120, ""/""), 0, 2)"),"regex")</f>
        <v>regex</v>
      </c>
      <c r="J1120" s="2" t="b">
        <f t="shared" si="1"/>
        <v>0</v>
      </c>
    </row>
    <row r="1121">
      <c r="A1121" s="1" t="s">
        <v>475</v>
      </c>
      <c r="B1121" s="3">
        <v>633.0</v>
      </c>
      <c r="C1121" s="3">
        <v>60.0</v>
      </c>
      <c r="D1121" s="3">
        <v>2.0</v>
      </c>
      <c r="E1121" s="3">
        <v>0.0</v>
      </c>
      <c r="F1121" s="3">
        <v>0.0</v>
      </c>
      <c r="G1121" s="3">
        <v>0.0</v>
      </c>
      <c r="H1121" s="3">
        <v>0.0</v>
      </c>
      <c r="I1121" s="2" t="str">
        <f>IFERROR(__xludf.DUMMYFUNCTION("INDEX(SPLIT(A1121, ""/""), 0, 2)"),"regex")</f>
        <v>regex</v>
      </c>
      <c r="J1121" s="2" t="b">
        <f t="shared" si="1"/>
        <v>0</v>
      </c>
    </row>
    <row r="1122">
      <c r="A1122" s="1" t="s">
        <v>476</v>
      </c>
      <c r="B1122" s="3">
        <v>11.0</v>
      </c>
      <c r="C1122" s="3">
        <v>60.0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  <c r="I1122" s="2" t="str">
        <f>IFERROR(__xludf.DUMMYFUNCTION("INDEX(SPLIT(A1122, ""/""), 0, 2)"),"regex")</f>
        <v>regex</v>
      </c>
      <c r="J1122" s="2" t="b">
        <f t="shared" si="1"/>
        <v>0</v>
      </c>
    </row>
    <row r="1123">
      <c r="A1123" s="1" t="s">
        <v>477</v>
      </c>
      <c r="B1123" s="3">
        <v>14.0</v>
      </c>
      <c r="C1123" s="3">
        <v>60.0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2" t="str">
        <f>IFERROR(__xludf.DUMMYFUNCTION("INDEX(SPLIT(A1123, ""/""), 0, 2)"),"regex")</f>
        <v>regex</v>
      </c>
      <c r="J1123" s="2" t="b">
        <f t="shared" si="1"/>
        <v>0</v>
      </c>
    </row>
    <row r="1124">
      <c r="A1124" s="1" t="s">
        <v>478</v>
      </c>
      <c r="B1124" s="3">
        <v>270.0</v>
      </c>
      <c r="C1124" s="3">
        <v>60.0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2" t="str">
        <f>IFERROR(__xludf.DUMMYFUNCTION("INDEX(SPLIT(A1124, ""/""), 0, 2)"),"regex")</f>
        <v>regex</v>
      </c>
      <c r="J1124" s="2" t="b">
        <f t="shared" si="1"/>
        <v>0</v>
      </c>
    </row>
    <row r="1125">
      <c r="A1125" s="1" t="s">
        <v>479</v>
      </c>
      <c r="B1125" s="3">
        <v>10.0</v>
      </c>
      <c r="C1125" s="3">
        <v>60.0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2" t="str">
        <f>IFERROR(__xludf.DUMMYFUNCTION("INDEX(SPLIT(A1125, ""/""), 0, 2)"),"regex")</f>
        <v>regex</v>
      </c>
      <c r="J1125" s="2" t="b">
        <f t="shared" si="1"/>
        <v>0</v>
      </c>
    </row>
    <row r="1126">
      <c r="A1126" s="1" t="s">
        <v>480</v>
      </c>
      <c r="B1126" s="3">
        <v>36.0</v>
      </c>
      <c r="C1126" s="3">
        <v>60.0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2" t="str">
        <f>IFERROR(__xludf.DUMMYFUNCTION("INDEX(SPLIT(A1126, ""/""), 0, 2)"),"regex")</f>
        <v>regex</v>
      </c>
      <c r="J1126" s="2" t="b">
        <f t="shared" si="1"/>
        <v>0</v>
      </c>
    </row>
    <row r="1127">
      <c r="A1127" s="1" t="s">
        <v>481</v>
      </c>
      <c r="B1127" s="3">
        <v>24.0</v>
      </c>
      <c r="C1127" s="3">
        <v>60.0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2" t="str">
        <f>IFERROR(__xludf.DUMMYFUNCTION("INDEX(SPLIT(A1127, ""/""), 0, 2)"),"regex")</f>
        <v>regex</v>
      </c>
      <c r="J1127" s="2" t="b">
        <f t="shared" si="1"/>
        <v>0</v>
      </c>
    </row>
    <row r="1128">
      <c r="A1128" s="1" t="s">
        <v>482</v>
      </c>
      <c r="B1128" s="3">
        <v>36.0</v>
      </c>
      <c r="C1128" s="3">
        <v>60.0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2" t="str">
        <f>IFERROR(__xludf.DUMMYFUNCTION("INDEX(SPLIT(A1128, ""/""), 0, 2)"),"regex")</f>
        <v>regex</v>
      </c>
      <c r="J1128" s="2" t="b">
        <f t="shared" si="1"/>
        <v>0</v>
      </c>
    </row>
    <row r="1129">
      <c r="A1129" s="1" t="s">
        <v>483</v>
      </c>
      <c r="B1129" s="3">
        <v>39.0</v>
      </c>
      <c r="C1129" s="3">
        <v>60.0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  <c r="I1129" s="2" t="str">
        <f>IFERROR(__xludf.DUMMYFUNCTION("INDEX(SPLIT(A1129, ""/""), 0, 2)"),"regex")</f>
        <v>regex</v>
      </c>
      <c r="J1129" s="2" t="b">
        <f t="shared" si="1"/>
        <v>0</v>
      </c>
    </row>
    <row r="1130">
      <c r="A1130" s="1" t="s">
        <v>484</v>
      </c>
      <c r="B1130" s="3">
        <v>40.0</v>
      </c>
      <c r="C1130" s="3">
        <v>60.0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2" t="str">
        <f>IFERROR(__xludf.DUMMYFUNCTION("INDEX(SPLIT(A1130, ""/""), 0, 2)"),"regex")</f>
        <v>regex</v>
      </c>
      <c r="J1130" s="2" t="b">
        <f t="shared" si="1"/>
        <v>0</v>
      </c>
    </row>
    <row r="1131">
      <c r="A1131" s="1" t="s">
        <v>485</v>
      </c>
      <c r="B1131" s="3">
        <v>21.0</v>
      </c>
      <c r="C1131" s="3">
        <v>60.0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2" t="str">
        <f>IFERROR(__xludf.DUMMYFUNCTION("INDEX(SPLIT(A1131, ""/""), 0, 2)"),"regex")</f>
        <v>regex</v>
      </c>
      <c r="J1131" s="2" t="b">
        <f t="shared" si="1"/>
        <v>0</v>
      </c>
    </row>
    <row r="1132">
      <c r="A1132" s="1" t="s">
        <v>486</v>
      </c>
      <c r="B1132" s="3">
        <v>23.0</v>
      </c>
      <c r="C1132" s="3">
        <v>60.0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2" t="str">
        <f>IFERROR(__xludf.DUMMYFUNCTION("INDEX(SPLIT(A1132, ""/""), 0, 2)"),"regex")</f>
        <v>regex</v>
      </c>
      <c r="J1132" s="2" t="b">
        <f t="shared" si="1"/>
        <v>0</v>
      </c>
    </row>
    <row r="1133">
      <c r="A1133" s="1" t="s">
        <v>487</v>
      </c>
      <c r="B1133" s="3">
        <v>65.0</v>
      </c>
      <c r="C1133" s="3">
        <v>60.0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2" t="str">
        <f>IFERROR(__xludf.DUMMYFUNCTION("INDEX(SPLIT(A1133, ""/""), 0, 2)"),"regex")</f>
        <v>regex</v>
      </c>
      <c r="J1133" s="2" t="b">
        <f t="shared" si="1"/>
        <v>0</v>
      </c>
    </row>
    <row r="1134">
      <c r="A1134" s="1" t="s">
        <v>488</v>
      </c>
      <c r="B1134" s="3">
        <v>6.0</v>
      </c>
      <c r="C1134" s="3">
        <v>60.0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2" t="str">
        <f>IFERROR(__xludf.DUMMYFUNCTION("INDEX(SPLIT(A1134, ""/""), 0, 2)"),"regex")</f>
        <v>regex</v>
      </c>
      <c r="J1134" s="2" t="b">
        <f t="shared" si="1"/>
        <v>0</v>
      </c>
    </row>
    <row r="1135">
      <c r="A1135" s="1" t="s">
        <v>489</v>
      </c>
      <c r="B1135" s="3">
        <v>17.0</v>
      </c>
      <c r="C1135" s="3">
        <v>60.0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2" t="str">
        <f>IFERROR(__xludf.DUMMYFUNCTION("INDEX(SPLIT(A1135, ""/""), 0, 2)"),"regex")</f>
        <v>regex</v>
      </c>
      <c r="J1135" s="2" t="b">
        <f t="shared" si="1"/>
        <v>0</v>
      </c>
    </row>
    <row r="1136">
      <c r="A1136" s="1" t="s">
        <v>490</v>
      </c>
      <c r="B1136" s="3">
        <v>29.0</v>
      </c>
      <c r="C1136" s="3">
        <v>60.0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2" t="str">
        <f>IFERROR(__xludf.DUMMYFUNCTION("INDEX(SPLIT(A1136, ""/""), 0, 2)"),"regex")</f>
        <v>regex</v>
      </c>
      <c r="J1136" s="2" t="b">
        <f t="shared" si="1"/>
        <v>0</v>
      </c>
    </row>
    <row r="1137">
      <c r="A1137" s="1" t="s">
        <v>491</v>
      </c>
      <c r="B1137" s="3">
        <v>46.0</v>
      </c>
      <c r="C1137" s="3">
        <v>60.0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2" t="str">
        <f>IFERROR(__xludf.DUMMYFUNCTION("INDEX(SPLIT(A1137, ""/""), 0, 2)"),"regex")</f>
        <v>regex</v>
      </c>
      <c r="J1137" s="2" t="b">
        <f t="shared" si="1"/>
        <v>0</v>
      </c>
    </row>
    <row r="1138">
      <c r="A1138" s="1" t="s">
        <v>492</v>
      </c>
      <c r="B1138" s="3">
        <v>53.0</v>
      </c>
      <c r="C1138" s="3">
        <v>60.0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2" t="str">
        <f>IFERROR(__xludf.DUMMYFUNCTION("INDEX(SPLIT(A1138, ""/""), 0, 2)"),"regex")</f>
        <v>regex</v>
      </c>
      <c r="J1138" s="2" t="b">
        <f t="shared" si="1"/>
        <v>0</v>
      </c>
    </row>
    <row r="1139">
      <c r="A1139" s="1" t="s">
        <v>493</v>
      </c>
      <c r="B1139" s="3">
        <v>61.0</v>
      </c>
      <c r="C1139" s="3">
        <v>60.0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2" t="str">
        <f>IFERROR(__xludf.DUMMYFUNCTION("INDEX(SPLIT(A1139, ""/""), 0, 2)"),"regex")</f>
        <v>regex</v>
      </c>
      <c r="J1139" s="2" t="b">
        <f t="shared" si="1"/>
        <v>0</v>
      </c>
    </row>
    <row r="1140">
      <c r="A1140" s="1" t="s">
        <v>494</v>
      </c>
      <c r="B1140" s="3">
        <v>31.0</v>
      </c>
      <c r="C1140" s="3">
        <v>60.0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2" t="str">
        <f>IFERROR(__xludf.DUMMYFUNCTION("INDEX(SPLIT(A1140, ""/""), 0, 2)"),"regex")</f>
        <v>regex</v>
      </c>
      <c r="J1140" s="2" t="b">
        <f t="shared" si="1"/>
        <v>0</v>
      </c>
    </row>
    <row r="1141">
      <c r="A1141" s="1" t="s">
        <v>495</v>
      </c>
      <c r="B1141" s="3">
        <v>28.0</v>
      </c>
      <c r="C1141" s="3">
        <v>60.0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2" t="str">
        <f>IFERROR(__xludf.DUMMYFUNCTION("INDEX(SPLIT(A1141, ""/""), 0, 2)"),"regex")</f>
        <v>regex</v>
      </c>
      <c r="J1141" s="2" t="b">
        <f t="shared" si="1"/>
        <v>0</v>
      </c>
    </row>
    <row r="1142">
      <c r="A1142" s="1" t="s">
        <v>496</v>
      </c>
      <c r="B1142" s="3">
        <v>31.0</v>
      </c>
      <c r="C1142" s="3">
        <v>60.0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2" t="str">
        <f>IFERROR(__xludf.DUMMYFUNCTION("INDEX(SPLIT(A1142, ""/""), 0, 2)"),"regex")</f>
        <v>regex</v>
      </c>
      <c r="J1142" s="2" t="b">
        <f t="shared" si="1"/>
        <v>0</v>
      </c>
    </row>
    <row r="1143">
      <c r="A1143" s="1" t="s">
        <v>497</v>
      </c>
      <c r="B1143" s="3">
        <v>226.0</v>
      </c>
      <c r="C1143" s="3">
        <v>60.0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2" t="str">
        <f>IFERROR(__xludf.DUMMYFUNCTION("INDEX(SPLIT(A1143, ""/""), 0, 2)"),"regex")</f>
        <v>regex</v>
      </c>
      <c r="J1143" s="2" t="b">
        <f t="shared" si="1"/>
        <v>0</v>
      </c>
    </row>
    <row r="1144">
      <c r="A1144" s="1" t="s">
        <v>498</v>
      </c>
      <c r="B1144" s="3">
        <v>18.0</v>
      </c>
      <c r="C1144" s="3">
        <v>60.0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2" t="str">
        <f>IFERROR(__xludf.DUMMYFUNCTION("INDEX(SPLIT(A1144, ""/""), 0, 2)"),"regex")</f>
        <v>regex</v>
      </c>
      <c r="J1144" s="2" t="b">
        <f t="shared" si="1"/>
        <v>0</v>
      </c>
    </row>
    <row r="1145">
      <c r="A1145" s="1" t="s">
        <v>499</v>
      </c>
      <c r="B1145" s="3">
        <v>47.0</v>
      </c>
      <c r="C1145" s="3">
        <v>60.0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2" t="str">
        <f>IFERROR(__xludf.DUMMYFUNCTION("INDEX(SPLIT(A1145, ""/""), 0, 2)"),"regex")</f>
        <v>regex</v>
      </c>
      <c r="J1145" s="2" t="b">
        <f t="shared" si="1"/>
        <v>0</v>
      </c>
    </row>
    <row r="1146">
      <c r="A1146" s="1" t="s">
        <v>500</v>
      </c>
      <c r="B1146" s="3">
        <v>65.0</v>
      </c>
      <c r="C1146" s="3">
        <v>60.0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2" t="str">
        <f>IFERROR(__xludf.DUMMYFUNCTION("INDEX(SPLIT(A1146, ""/""), 0, 2)"),"regex")</f>
        <v>regex</v>
      </c>
      <c r="J1146" s="2" t="b">
        <f t="shared" si="1"/>
        <v>0</v>
      </c>
    </row>
    <row r="1147">
      <c r="A1147" s="1" t="s">
        <v>501</v>
      </c>
      <c r="B1147" s="3">
        <v>101.0</v>
      </c>
      <c r="C1147" s="3">
        <v>60.0</v>
      </c>
      <c r="D1147" s="3">
        <v>0.0</v>
      </c>
      <c r="E1147" s="3">
        <v>0.0</v>
      </c>
      <c r="F1147" s="3">
        <v>0.0</v>
      </c>
      <c r="G1147" s="3">
        <v>0.0</v>
      </c>
      <c r="H1147" s="3">
        <v>0.0</v>
      </c>
      <c r="I1147" s="2" t="str">
        <f>IFERROR(__xludf.DUMMYFUNCTION("INDEX(SPLIT(A1147, ""/""), 0, 2)"),"regex")</f>
        <v>regex</v>
      </c>
      <c r="J1147" s="2" t="b">
        <f t="shared" si="1"/>
        <v>0</v>
      </c>
    </row>
    <row r="1148">
      <c r="A1148" s="1" t="s">
        <v>502</v>
      </c>
      <c r="B1148" s="3">
        <v>13.0</v>
      </c>
      <c r="C1148" s="3">
        <v>60.0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2" t="str">
        <f>IFERROR(__xludf.DUMMYFUNCTION("INDEX(SPLIT(A1148, ""/""), 0, 2)"),"regex")</f>
        <v>regex</v>
      </c>
      <c r="J1148" s="2" t="b">
        <f t="shared" si="1"/>
        <v>0</v>
      </c>
    </row>
    <row r="1149">
      <c r="A1149" s="1" t="s">
        <v>503</v>
      </c>
      <c r="B1149" s="3">
        <v>28.0</v>
      </c>
      <c r="C1149" s="3">
        <v>60.0</v>
      </c>
      <c r="D1149" s="3">
        <v>0.0</v>
      </c>
      <c r="E1149" s="3">
        <v>0.0</v>
      </c>
      <c r="F1149" s="3">
        <v>0.0</v>
      </c>
      <c r="G1149" s="3">
        <v>0.0</v>
      </c>
      <c r="H1149" s="3">
        <v>0.0</v>
      </c>
      <c r="I1149" s="2" t="str">
        <f>IFERROR(__xludf.DUMMYFUNCTION("INDEX(SPLIT(A1149, ""/""), 0, 2)"),"regex")</f>
        <v>regex</v>
      </c>
      <c r="J1149" s="2" t="b">
        <f t="shared" si="1"/>
        <v>0</v>
      </c>
    </row>
    <row r="1150">
      <c r="A1150" s="1" t="s">
        <v>504</v>
      </c>
      <c r="B1150" s="3">
        <v>10.0</v>
      </c>
      <c r="C1150" s="3">
        <v>60.0</v>
      </c>
      <c r="D1150" s="3">
        <v>0.0</v>
      </c>
      <c r="E1150" s="3">
        <v>0.0</v>
      </c>
      <c r="F1150" s="3">
        <v>0.0</v>
      </c>
      <c r="G1150" s="3">
        <v>0.0</v>
      </c>
      <c r="H1150" s="3">
        <v>0.0</v>
      </c>
      <c r="I1150" s="2" t="str">
        <f>IFERROR(__xludf.DUMMYFUNCTION("INDEX(SPLIT(A1150, ""/""), 0, 2)"),"regex")</f>
        <v>regex</v>
      </c>
      <c r="J1150" s="2" t="b">
        <f t="shared" si="1"/>
        <v>0</v>
      </c>
    </row>
    <row r="1151">
      <c r="A1151" s="1" t="s">
        <v>505</v>
      </c>
      <c r="B1151" s="3">
        <v>33.0</v>
      </c>
      <c r="C1151" s="3">
        <v>60.0</v>
      </c>
      <c r="D1151" s="3">
        <v>0.0</v>
      </c>
      <c r="E1151" s="3">
        <v>0.0</v>
      </c>
      <c r="F1151" s="3">
        <v>0.0</v>
      </c>
      <c r="G1151" s="3">
        <v>0.0</v>
      </c>
      <c r="H1151" s="3">
        <v>0.0</v>
      </c>
      <c r="I1151" s="2" t="str">
        <f>IFERROR(__xludf.DUMMYFUNCTION("INDEX(SPLIT(A1151, ""/""), 0, 2)"),"regex")</f>
        <v>regex</v>
      </c>
      <c r="J1151" s="2" t="b">
        <f t="shared" si="1"/>
        <v>0</v>
      </c>
    </row>
    <row r="1152">
      <c r="A1152" s="1" t="s">
        <v>506</v>
      </c>
      <c r="B1152" s="3">
        <v>130.0</v>
      </c>
      <c r="C1152" s="3">
        <v>60.0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0.0</v>
      </c>
      <c r="I1152" s="2" t="str">
        <f>IFERROR(__xludf.DUMMYFUNCTION("INDEX(SPLIT(A1152, ""/""), 0, 2)"),"regex")</f>
        <v>regex</v>
      </c>
      <c r="J1152" s="2" t="b">
        <f t="shared" si="1"/>
        <v>0</v>
      </c>
    </row>
    <row r="1153">
      <c r="A1153" s="1" t="s">
        <v>507</v>
      </c>
      <c r="B1153" s="3">
        <v>125.0</v>
      </c>
      <c r="C1153" s="3">
        <v>60.0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2" t="str">
        <f>IFERROR(__xludf.DUMMYFUNCTION("INDEX(SPLIT(A1153, ""/""), 0, 2)"),"regex")</f>
        <v>regex</v>
      </c>
      <c r="J1153" s="2" t="b">
        <f t="shared" si="1"/>
        <v>0</v>
      </c>
    </row>
    <row r="1154">
      <c r="A1154" s="1" t="s">
        <v>508</v>
      </c>
      <c r="B1154" s="3">
        <v>68.0</v>
      </c>
      <c r="C1154" s="3">
        <v>60.0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2" t="str">
        <f>IFERROR(__xludf.DUMMYFUNCTION("INDEX(SPLIT(A1154, ""/""), 0, 2)"),"regex")</f>
        <v>regex</v>
      </c>
      <c r="J1154" s="2" t="b">
        <f t="shared" si="1"/>
        <v>0</v>
      </c>
    </row>
    <row r="1155">
      <c r="A1155" s="1" t="s">
        <v>509</v>
      </c>
      <c r="B1155" s="3">
        <v>79.0</v>
      </c>
      <c r="C1155" s="3">
        <v>60.0</v>
      </c>
      <c r="D1155" s="3">
        <v>0.0</v>
      </c>
      <c r="E1155" s="3">
        <v>0.0</v>
      </c>
      <c r="F1155" s="3">
        <v>0.0</v>
      </c>
      <c r="G1155" s="3">
        <v>0.0</v>
      </c>
      <c r="H1155" s="3">
        <v>0.0</v>
      </c>
      <c r="I1155" s="2" t="str">
        <f>IFERROR(__xludf.DUMMYFUNCTION("INDEX(SPLIT(A1155, ""/""), 0, 2)"),"regex")</f>
        <v>regex</v>
      </c>
      <c r="J1155" s="2" t="b">
        <f t="shared" si="1"/>
        <v>0</v>
      </c>
    </row>
    <row r="1156">
      <c r="A1156" s="1" t="s">
        <v>510</v>
      </c>
      <c r="B1156" s="3">
        <v>5.0</v>
      </c>
      <c r="C1156" s="3">
        <v>60.0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2" t="str">
        <f>IFERROR(__xludf.DUMMYFUNCTION("INDEX(SPLIT(A1156, ""/""), 0, 2)"),"regex")</f>
        <v>regex</v>
      </c>
      <c r="J1156" s="2" t="b">
        <f t="shared" si="1"/>
        <v>0</v>
      </c>
    </row>
    <row r="1157">
      <c r="A1157" s="1" t="s">
        <v>511</v>
      </c>
      <c r="B1157" s="3">
        <v>30.0</v>
      </c>
      <c r="C1157" s="3">
        <v>60.0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2" t="str">
        <f>IFERROR(__xludf.DUMMYFUNCTION("INDEX(SPLIT(A1157, ""/""), 0, 2)"),"regex")</f>
        <v>regex</v>
      </c>
      <c r="J1157" s="2" t="b">
        <f t="shared" si="1"/>
        <v>0</v>
      </c>
    </row>
    <row r="1158">
      <c r="A1158" s="1" t="s">
        <v>512</v>
      </c>
      <c r="B1158" s="3">
        <v>33.0</v>
      </c>
      <c r="C1158" s="3">
        <v>60.0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2" t="str">
        <f>IFERROR(__xludf.DUMMYFUNCTION("INDEX(SPLIT(A1158, ""/""), 0, 2)"),"regex")</f>
        <v>regex</v>
      </c>
      <c r="J1158" s="2" t="b">
        <f t="shared" si="1"/>
        <v>0</v>
      </c>
    </row>
    <row r="1159">
      <c r="A1159" s="1" t="s">
        <v>513</v>
      </c>
      <c r="B1159" s="3">
        <v>19.0</v>
      </c>
      <c r="C1159" s="3">
        <v>60.0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2" t="str">
        <f>IFERROR(__xludf.DUMMYFUNCTION("INDEX(SPLIT(A1159, ""/""), 0, 2)"),"regex")</f>
        <v>regex</v>
      </c>
      <c r="J1159" s="2" t="b">
        <f t="shared" si="1"/>
        <v>0</v>
      </c>
    </row>
    <row r="1160">
      <c r="A1160" s="1" t="s">
        <v>514</v>
      </c>
      <c r="B1160" s="3">
        <v>53.0</v>
      </c>
      <c r="C1160" s="3">
        <v>60.0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2" t="str">
        <f>IFERROR(__xludf.DUMMYFUNCTION("INDEX(SPLIT(A1160, ""/""), 0, 2)"),"regex")</f>
        <v>regex</v>
      </c>
      <c r="J1160" s="2" t="b">
        <f t="shared" si="1"/>
        <v>0</v>
      </c>
    </row>
    <row r="1161">
      <c r="A1161" s="1" t="s">
        <v>515</v>
      </c>
      <c r="B1161" s="3">
        <v>16.0</v>
      </c>
      <c r="C1161" s="3">
        <v>60.0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2" t="str">
        <f>IFERROR(__xludf.DUMMYFUNCTION("INDEX(SPLIT(A1161, ""/""), 0, 2)"),"regex")</f>
        <v>regex</v>
      </c>
      <c r="J1161" s="2" t="b">
        <f t="shared" si="1"/>
        <v>0</v>
      </c>
    </row>
    <row r="1162">
      <c r="A1162" s="1" t="s">
        <v>516</v>
      </c>
      <c r="B1162" s="3">
        <v>56.0</v>
      </c>
      <c r="C1162" s="3">
        <v>60.0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2" t="str">
        <f>IFERROR(__xludf.DUMMYFUNCTION("INDEX(SPLIT(A1162, ""/""), 0, 2)"),"regex")</f>
        <v>regex</v>
      </c>
      <c r="J1162" s="2" t="b">
        <f t="shared" si="1"/>
        <v>0</v>
      </c>
    </row>
    <row r="1163">
      <c r="A1163" s="1" t="s">
        <v>517</v>
      </c>
      <c r="B1163" s="3">
        <v>35.0</v>
      </c>
      <c r="C1163" s="3">
        <v>60.0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2" t="str">
        <f>IFERROR(__xludf.DUMMYFUNCTION("INDEX(SPLIT(A1163, ""/""), 0, 2)"),"regex")</f>
        <v>regex</v>
      </c>
      <c r="J1163" s="2" t="b">
        <f t="shared" si="1"/>
        <v>0</v>
      </c>
    </row>
    <row r="1164">
      <c r="A1164" s="1" t="s">
        <v>518</v>
      </c>
      <c r="B1164" s="3">
        <v>30.0</v>
      </c>
      <c r="C1164" s="3">
        <v>60.0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2" t="str">
        <f>IFERROR(__xludf.DUMMYFUNCTION("INDEX(SPLIT(A1164, ""/""), 0, 2)"),"regex")</f>
        <v>regex</v>
      </c>
      <c r="J1164" s="2" t="b">
        <f t="shared" si="1"/>
        <v>0</v>
      </c>
    </row>
    <row r="1165">
      <c r="A1165" s="1" t="s">
        <v>519</v>
      </c>
      <c r="B1165" s="3">
        <v>14.0</v>
      </c>
      <c r="C1165" s="3">
        <v>60.0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2" t="str">
        <f>IFERROR(__xludf.DUMMYFUNCTION("INDEX(SPLIT(A1165, ""/""), 0, 2)"),"regex")</f>
        <v>regex</v>
      </c>
      <c r="J1165" s="2" t="b">
        <f t="shared" si="1"/>
        <v>0</v>
      </c>
    </row>
    <row r="1166">
      <c r="A1166" s="1" t="s">
        <v>520</v>
      </c>
      <c r="B1166" s="3">
        <v>44.0</v>
      </c>
      <c r="C1166" s="3">
        <v>60.0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2" t="str">
        <f>IFERROR(__xludf.DUMMYFUNCTION("INDEX(SPLIT(A1166, ""/""), 0, 2)"),"regex")</f>
        <v>regex</v>
      </c>
      <c r="J1166" s="2" t="b">
        <f t="shared" si="1"/>
        <v>0</v>
      </c>
    </row>
    <row r="1167">
      <c r="A1167" s="1" t="s">
        <v>521</v>
      </c>
      <c r="B1167" s="3">
        <v>23.0</v>
      </c>
      <c r="C1167" s="3">
        <v>60.0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2" t="str">
        <f>IFERROR(__xludf.DUMMYFUNCTION("INDEX(SPLIT(A1167, ""/""), 0, 2)"),"regex")</f>
        <v>regex</v>
      </c>
      <c r="J1167" s="2" t="b">
        <f t="shared" si="1"/>
        <v>0</v>
      </c>
    </row>
    <row r="1168">
      <c r="A1168" s="1" t="s">
        <v>522</v>
      </c>
      <c r="B1168" s="3">
        <v>13.0</v>
      </c>
      <c r="C1168" s="3">
        <v>60.0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2" t="str">
        <f>IFERROR(__xludf.DUMMYFUNCTION("INDEX(SPLIT(A1168, ""/""), 0, 2)"),"regex")</f>
        <v>regex</v>
      </c>
      <c r="J1168" s="2" t="b">
        <f t="shared" si="1"/>
        <v>0</v>
      </c>
    </row>
    <row r="1169">
      <c r="A1169" s="1" t="s">
        <v>523</v>
      </c>
      <c r="B1169" s="3">
        <v>5.0</v>
      </c>
      <c r="C1169" s="3">
        <v>60.0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2" t="str">
        <f>IFERROR(__xludf.DUMMYFUNCTION("INDEX(SPLIT(A1169, ""/""), 0, 2)"),"regex")</f>
        <v>regex</v>
      </c>
      <c r="J1169" s="2" t="b">
        <f t="shared" si="1"/>
        <v>0</v>
      </c>
    </row>
    <row r="1170">
      <c r="A1170" s="1" t="s">
        <v>524</v>
      </c>
      <c r="B1170" s="3">
        <v>99.0</v>
      </c>
      <c r="C1170" s="3">
        <v>60.0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2" t="str">
        <f>IFERROR(__xludf.DUMMYFUNCTION("INDEX(SPLIT(A1170, ""/""), 0, 2)"),"regex")</f>
        <v>regex</v>
      </c>
      <c r="J1170" s="2" t="b">
        <f t="shared" si="1"/>
        <v>0</v>
      </c>
    </row>
    <row r="1171">
      <c r="A1171" s="1" t="s">
        <v>525</v>
      </c>
      <c r="B1171" s="3">
        <v>22.0</v>
      </c>
      <c r="C1171" s="3">
        <v>60.0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2" t="str">
        <f>IFERROR(__xludf.DUMMYFUNCTION("INDEX(SPLIT(A1171, ""/""), 0, 2)"),"regex")</f>
        <v>regex</v>
      </c>
      <c r="J1171" s="2" t="b">
        <f t="shared" si="1"/>
        <v>0</v>
      </c>
    </row>
    <row r="1172">
      <c r="A1172" s="1" t="s">
        <v>526</v>
      </c>
      <c r="B1172" s="3">
        <v>30.0</v>
      </c>
      <c r="C1172" s="3">
        <v>60.0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2" t="str">
        <f>IFERROR(__xludf.DUMMYFUNCTION("INDEX(SPLIT(A1172, ""/""), 0, 2)"),"regex")</f>
        <v>regex</v>
      </c>
      <c r="J1172" s="2" t="b">
        <f t="shared" si="1"/>
        <v>0</v>
      </c>
    </row>
    <row r="1173">
      <c r="A1173" s="1" t="s">
        <v>527</v>
      </c>
      <c r="B1173" s="3">
        <v>15.0</v>
      </c>
      <c r="C1173" s="3">
        <v>60.0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2" t="str">
        <f>IFERROR(__xludf.DUMMYFUNCTION("INDEX(SPLIT(A1173, ""/""), 0, 2)"),"regex")</f>
        <v>regex</v>
      </c>
      <c r="J1173" s="2" t="b">
        <f t="shared" si="1"/>
        <v>0</v>
      </c>
    </row>
    <row r="1174">
      <c r="A1174" s="1" t="s">
        <v>528</v>
      </c>
      <c r="B1174" s="3">
        <v>40.0</v>
      </c>
      <c r="C1174" s="3">
        <v>60.0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2" t="str">
        <f>IFERROR(__xludf.DUMMYFUNCTION("INDEX(SPLIT(A1174, ""/""), 0, 2)"),"regex")</f>
        <v>regex</v>
      </c>
      <c r="J1174" s="2" t="b">
        <f t="shared" si="1"/>
        <v>0</v>
      </c>
    </row>
    <row r="1175">
      <c r="A1175" s="1" t="s">
        <v>529</v>
      </c>
      <c r="B1175" s="3">
        <v>11716.0</v>
      </c>
      <c r="C1175" s="3">
        <v>60.0</v>
      </c>
      <c r="D1175" s="3">
        <v>3932.0</v>
      </c>
      <c r="E1175" s="3">
        <v>130.0</v>
      </c>
      <c r="F1175" s="3">
        <v>240.0</v>
      </c>
      <c r="G1175" s="3">
        <v>90.0</v>
      </c>
      <c r="H1175" s="3">
        <v>6.0</v>
      </c>
      <c r="I1175" s="2" t="str">
        <f>IFERROR(__xludf.DUMMYFUNCTION("INDEX(SPLIT(A1175, ""/""), 0, 2)"),"regex")</f>
        <v>regex</v>
      </c>
      <c r="J1175" s="2" t="b">
        <f t="shared" si="1"/>
        <v>1</v>
      </c>
    </row>
    <row r="1176">
      <c r="A1176" s="1" t="s">
        <v>530</v>
      </c>
      <c r="B1176" s="3">
        <v>4.0</v>
      </c>
      <c r="C1176" s="3">
        <v>60.0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2" t="str">
        <f>IFERROR(__xludf.DUMMYFUNCTION("INDEX(SPLIT(A1176, ""/""), 0, 2)"),"regex")</f>
        <v>regex</v>
      </c>
      <c r="J1176" s="2" t="b">
        <f t="shared" si="1"/>
        <v>0</v>
      </c>
    </row>
    <row r="1177">
      <c r="A1177" s="1" t="s">
        <v>531</v>
      </c>
      <c r="B1177" s="3">
        <v>209.0</v>
      </c>
      <c r="C1177" s="3">
        <v>60.0</v>
      </c>
      <c r="D1177" s="3">
        <v>1.0</v>
      </c>
      <c r="E1177" s="3">
        <v>0.0</v>
      </c>
      <c r="F1177" s="3">
        <v>0.0</v>
      </c>
      <c r="G1177" s="3">
        <v>0.0</v>
      </c>
      <c r="H1177" s="3">
        <v>0.0</v>
      </c>
      <c r="I1177" s="2" t="str">
        <f>IFERROR(__xludf.DUMMYFUNCTION("INDEX(SPLIT(A1177, ""/""), 0, 2)"),"regex")</f>
        <v>regex</v>
      </c>
      <c r="J1177" s="2" t="b">
        <f t="shared" si="1"/>
        <v>0</v>
      </c>
    </row>
    <row r="1178">
      <c r="A1178" s="1" t="s">
        <v>532</v>
      </c>
      <c r="B1178" s="3">
        <v>15.0</v>
      </c>
      <c r="C1178" s="3">
        <v>60.0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2" t="str">
        <f>IFERROR(__xludf.DUMMYFUNCTION("INDEX(SPLIT(A1178, ""/""), 0, 2)"),"regex")</f>
        <v>regex</v>
      </c>
      <c r="J1178" s="2" t="b">
        <f t="shared" si="1"/>
        <v>0</v>
      </c>
    </row>
    <row r="1179">
      <c r="A1179" s="1" t="s">
        <v>533</v>
      </c>
      <c r="B1179" s="3">
        <v>22.0</v>
      </c>
      <c r="C1179" s="3">
        <v>60.0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2" t="str">
        <f>IFERROR(__xludf.DUMMYFUNCTION("INDEX(SPLIT(A1179, ""/""), 0, 2)"),"regex")</f>
        <v>regex</v>
      </c>
      <c r="J1179" s="2" t="b">
        <f t="shared" si="1"/>
        <v>0</v>
      </c>
    </row>
    <row r="1180">
      <c r="A1180" s="1" t="s">
        <v>534</v>
      </c>
      <c r="B1180" s="3">
        <v>13.0</v>
      </c>
      <c r="C1180" s="3">
        <v>60.0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2" t="str">
        <f>IFERROR(__xludf.DUMMYFUNCTION("INDEX(SPLIT(A1180, ""/""), 0, 2)"),"regex")</f>
        <v>regex</v>
      </c>
      <c r="J1180" s="2" t="b">
        <f t="shared" si="1"/>
        <v>0</v>
      </c>
    </row>
    <row r="1181">
      <c r="A1181" s="1" t="s">
        <v>535</v>
      </c>
      <c r="B1181" s="3">
        <v>50.0</v>
      </c>
      <c r="C1181" s="3">
        <v>60.0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2" t="str">
        <f>IFERROR(__xludf.DUMMYFUNCTION("INDEX(SPLIT(A1181, ""/""), 0, 2)"),"regex")</f>
        <v>regex</v>
      </c>
      <c r="J1181" s="2" t="b">
        <f t="shared" si="1"/>
        <v>0</v>
      </c>
    </row>
    <row r="1182">
      <c r="A1182" s="1" t="s">
        <v>536</v>
      </c>
      <c r="B1182" s="3">
        <v>19.0</v>
      </c>
      <c r="C1182" s="3">
        <v>60.0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2" t="str">
        <f>IFERROR(__xludf.DUMMYFUNCTION("INDEX(SPLIT(A1182, ""/""), 0, 2)"),"regex")</f>
        <v>regex</v>
      </c>
      <c r="J1182" s="2" t="b">
        <f t="shared" si="1"/>
        <v>0</v>
      </c>
    </row>
    <row r="1183">
      <c r="A1183" s="1" t="s">
        <v>537</v>
      </c>
      <c r="B1183" s="3">
        <v>92.0</v>
      </c>
      <c r="C1183" s="3">
        <v>60.0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2" t="str">
        <f>IFERROR(__xludf.DUMMYFUNCTION("INDEX(SPLIT(A1183, ""/""), 0, 2)"),"regex")</f>
        <v>regex</v>
      </c>
      <c r="J1183" s="2" t="b">
        <f t="shared" si="1"/>
        <v>0</v>
      </c>
    </row>
    <row r="1184">
      <c r="A1184" s="1" t="s">
        <v>538</v>
      </c>
      <c r="B1184" s="3">
        <v>118.0</v>
      </c>
      <c r="C1184" s="3">
        <v>60.0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2" t="str">
        <f>IFERROR(__xludf.DUMMYFUNCTION("INDEX(SPLIT(A1184, ""/""), 0, 2)"),"regex")</f>
        <v>regex</v>
      </c>
      <c r="J1184" s="2" t="b">
        <f t="shared" si="1"/>
        <v>0</v>
      </c>
    </row>
    <row r="1185">
      <c r="A1185" s="1" t="s">
        <v>539</v>
      </c>
      <c r="B1185" s="3">
        <v>17.0</v>
      </c>
      <c r="C1185" s="3">
        <v>60.0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2" t="str">
        <f>IFERROR(__xludf.DUMMYFUNCTION("INDEX(SPLIT(A1185, ""/""), 0, 2)"),"regex")</f>
        <v>regex</v>
      </c>
      <c r="J1185" s="2" t="b">
        <f t="shared" si="1"/>
        <v>0</v>
      </c>
    </row>
    <row r="1186">
      <c r="A1186" s="1" t="s">
        <v>540</v>
      </c>
      <c r="B1186" s="3">
        <v>19.0</v>
      </c>
      <c r="C1186" s="3">
        <v>60.0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2" t="str">
        <f>IFERROR(__xludf.DUMMYFUNCTION("INDEX(SPLIT(A1186, ""/""), 0, 2)"),"regex")</f>
        <v>regex</v>
      </c>
      <c r="J1186" s="2" t="b">
        <f t="shared" si="1"/>
        <v>0</v>
      </c>
    </row>
    <row r="1187">
      <c r="A1187" s="1" t="s">
        <v>541</v>
      </c>
      <c r="B1187" s="3">
        <v>192.0</v>
      </c>
      <c r="C1187" s="3">
        <v>60.0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2" t="str">
        <f>IFERROR(__xludf.DUMMYFUNCTION("INDEX(SPLIT(A1187, ""/""), 0, 2)"),"regex")</f>
        <v>regex</v>
      </c>
      <c r="J1187" s="2" t="b">
        <f t="shared" si="1"/>
        <v>0</v>
      </c>
    </row>
    <row r="1188">
      <c r="A1188" s="1" t="s">
        <v>542</v>
      </c>
      <c r="B1188" s="3">
        <v>9.0</v>
      </c>
      <c r="C1188" s="3">
        <v>60.0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2" t="str">
        <f>IFERROR(__xludf.DUMMYFUNCTION("INDEX(SPLIT(A1188, ""/""), 0, 2)"),"regex")</f>
        <v>regex</v>
      </c>
      <c r="J1188" s="2" t="b">
        <f t="shared" si="1"/>
        <v>0</v>
      </c>
    </row>
    <row r="1189">
      <c r="A1189" s="1" t="s">
        <v>543</v>
      </c>
      <c r="B1189" s="3">
        <v>14.0</v>
      </c>
      <c r="C1189" s="3">
        <v>60.0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2" t="str">
        <f>IFERROR(__xludf.DUMMYFUNCTION("INDEX(SPLIT(A1189, ""/""), 0, 2)"),"regex")</f>
        <v>regex</v>
      </c>
      <c r="J1189" s="2" t="b">
        <f t="shared" si="1"/>
        <v>0</v>
      </c>
    </row>
    <row r="1190">
      <c r="A1190" s="1" t="s">
        <v>544</v>
      </c>
      <c r="B1190" s="3">
        <v>25.0</v>
      </c>
      <c r="C1190" s="3">
        <v>60.0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2" t="str">
        <f>IFERROR(__xludf.DUMMYFUNCTION("INDEX(SPLIT(A1190, ""/""), 0, 2)"),"regex")</f>
        <v>regex</v>
      </c>
      <c r="J1190" s="2" t="b">
        <f t="shared" si="1"/>
        <v>0</v>
      </c>
    </row>
    <row r="1191">
      <c r="A1191" s="1" t="s">
        <v>545</v>
      </c>
      <c r="B1191" s="3">
        <v>26.0</v>
      </c>
      <c r="C1191" s="3">
        <v>60.0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2" t="str">
        <f>IFERROR(__xludf.DUMMYFUNCTION("INDEX(SPLIT(A1191, ""/""), 0, 2)"),"regex")</f>
        <v>regex</v>
      </c>
      <c r="J1191" s="2" t="b">
        <f t="shared" si="1"/>
        <v>0</v>
      </c>
    </row>
    <row r="1192">
      <c r="A1192" s="1" t="s">
        <v>546</v>
      </c>
      <c r="B1192" s="3">
        <v>30.0</v>
      </c>
      <c r="C1192" s="3">
        <v>60.0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2" t="str">
        <f>IFERROR(__xludf.DUMMYFUNCTION("INDEX(SPLIT(A1192, ""/""), 0, 2)"),"regex")</f>
        <v>regex</v>
      </c>
      <c r="J1192" s="2" t="b">
        <f t="shared" si="1"/>
        <v>0</v>
      </c>
    </row>
    <row r="1193">
      <c r="A1193" s="1" t="s">
        <v>547</v>
      </c>
      <c r="B1193" s="3">
        <v>55.0</v>
      </c>
      <c r="C1193" s="3">
        <v>60.0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2" t="str">
        <f>IFERROR(__xludf.DUMMYFUNCTION("INDEX(SPLIT(A1193, ""/""), 0, 2)"),"regex")</f>
        <v>regex</v>
      </c>
      <c r="J1193" s="2" t="b">
        <f t="shared" si="1"/>
        <v>0</v>
      </c>
    </row>
    <row r="1194">
      <c r="A1194" s="1" t="s">
        <v>548</v>
      </c>
      <c r="B1194" s="3">
        <v>54.0</v>
      </c>
      <c r="C1194" s="3">
        <v>60.0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2" t="str">
        <f>IFERROR(__xludf.DUMMYFUNCTION("INDEX(SPLIT(A1194, ""/""), 0, 2)"),"regex")</f>
        <v>regex</v>
      </c>
      <c r="J1194" s="2" t="b">
        <f t="shared" si="1"/>
        <v>0</v>
      </c>
    </row>
    <row r="1195">
      <c r="A1195" s="1" t="s">
        <v>549</v>
      </c>
      <c r="B1195" s="3">
        <v>34.0</v>
      </c>
      <c r="C1195" s="3">
        <v>60.0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2" t="str">
        <f>IFERROR(__xludf.DUMMYFUNCTION("INDEX(SPLIT(A1195, ""/""), 0, 2)"),"regex")</f>
        <v>regex</v>
      </c>
      <c r="J1195" s="2" t="b">
        <f t="shared" si="1"/>
        <v>0</v>
      </c>
    </row>
    <row r="1196">
      <c r="A1196" s="1" t="s">
        <v>550</v>
      </c>
      <c r="B1196" s="3">
        <v>33.0</v>
      </c>
      <c r="C1196" s="3">
        <v>60.0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2" t="str">
        <f>IFERROR(__xludf.DUMMYFUNCTION("INDEX(SPLIT(A1196, ""/""), 0, 2)"),"regex")</f>
        <v>regex</v>
      </c>
      <c r="J1196" s="2" t="b">
        <f t="shared" si="1"/>
        <v>0</v>
      </c>
    </row>
    <row r="1197">
      <c r="A1197" s="1" t="s">
        <v>551</v>
      </c>
      <c r="B1197" s="3">
        <v>5.0</v>
      </c>
      <c r="C1197" s="3">
        <v>60.0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2" t="str">
        <f>IFERROR(__xludf.DUMMYFUNCTION("INDEX(SPLIT(A1197, ""/""), 0, 2)"),"regex")</f>
        <v>regex</v>
      </c>
      <c r="J1197" s="2" t="b">
        <f t="shared" si="1"/>
        <v>0</v>
      </c>
    </row>
    <row r="1198">
      <c r="A1198" s="1" t="s">
        <v>552</v>
      </c>
      <c r="B1198" s="3">
        <v>97.0</v>
      </c>
      <c r="C1198" s="3">
        <v>60.0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2" t="str">
        <f>IFERROR(__xludf.DUMMYFUNCTION("INDEX(SPLIT(A1198, ""/""), 0, 2)"),"regex")</f>
        <v>regex</v>
      </c>
      <c r="J1198" s="2" t="b">
        <f t="shared" si="1"/>
        <v>0</v>
      </c>
    </row>
    <row r="1199">
      <c r="A1199" s="1" t="s">
        <v>553</v>
      </c>
      <c r="B1199" s="3">
        <v>27.0</v>
      </c>
      <c r="C1199" s="3">
        <v>60.0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2" t="str">
        <f>IFERROR(__xludf.DUMMYFUNCTION("INDEX(SPLIT(A1199, ""/""), 0, 2)"),"regex")</f>
        <v>regex</v>
      </c>
      <c r="J1199" s="2" t="b">
        <f t="shared" si="1"/>
        <v>0</v>
      </c>
    </row>
    <row r="1200">
      <c r="A1200" s="1" t="s">
        <v>554</v>
      </c>
      <c r="B1200" s="3">
        <v>115.0</v>
      </c>
      <c r="C1200" s="3">
        <v>60.0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2" t="str">
        <f>IFERROR(__xludf.DUMMYFUNCTION("INDEX(SPLIT(A1200, ""/""), 0, 2)"),"regex")</f>
        <v>regex</v>
      </c>
      <c r="J1200" s="2" t="b">
        <f t="shared" si="1"/>
        <v>0</v>
      </c>
    </row>
    <row r="1201">
      <c r="A1201" s="1" t="s">
        <v>555</v>
      </c>
      <c r="B1201" s="3">
        <v>5.0</v>
      </c>
      <c r="C1201" s="3">
        <v>60.0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2" t="str">
        <f>IFERROR(__xludf.DUMMYFUNCTION("INDEX(SPLIT(A1201, ""/""), 0, 2)"),"regex")</f>
        <v>regex</v>
      </c>
      <c r="J1201" s="2" t="b">
        <f t="shared" si="1"/>
        <v>0</v>
      </c>
    </row>
    <row r="1202">
      <c r="A1202" s="1" t="s">
        <v>556</v>
      </c>
      <c r="B1202" s="3">
        <v>11.0</v>
      </c>
      <c r="C1202" s="3">
        <v>60.0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2" t="str">
        <f>IFERROR(__xludf.DUMMYFUNCTION("INDEX(SPLIT(A1202, ""/""), 0, 2)"),"regex")</f>
        <v>regex</v>
      </c>
      <c r="J1202" s="2" t="b">
        <f t="shared" si="1"/>
        <v>0</v>
      </c>
    </row>
    <row r="1203">
      <c r="A1203" s="1" t="s">
        <v>557</v>
      </c>
      <c r="B1203" s="3">
        <v>17.0</v>
      </c>
      <c r="C1203" s="3">
        <v>60.0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2" t="str">
        <f>IFERROR(__xludf.DUMMYFUNCTION("INDEX(SPLIT(A1203, ""/""), 0, 2)"),"regex")</f>
        <v>regex</v>
      </c>
      <c r="J1203" s="2" t="b">
        <f t="shared" si="1"/>
        <v>0</v>
      </c>
    </row>
    <row r="1204">
      <c r="A1204" s="1" t="s">
        <v>558</v>
      </c>
      <c r="B1204" s="3">
        <v>50.0</v>
      </c>
      <c r="C1204" s="3">
        <v>60.0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2" t="str">
        <f>IFERROR(__xludf.DUMMYFUNCTION("INDEX(SPLIT(A1204, ""/""), 0, 2)"),"regex")</f>
        <v>regex</v>
      </c>
      <c r="J1204" s="2" t="b">
        <f t="shared" si="1"/>
        <v>0</v>
      </c>
    </row>
    <row r="1205">
      <c r="A1205" s="1" t="s">
        <v>559</v>
      </c>
      <c r="B1205" s="3">
        <v>56.0</v>
      </c>
      <c r="C1205" s="3">
        <v>60.0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2" t="str">
        <f>IFERROR(__xludf.DUMMYFUNCTION("INDEX(SPLIT(A1205, ""/""), 0, 2)"),"regex")</f>
        <v>regex</v>
      </c>
      <c r="J1205" s="2" t="b">
        <f t="shared" si="1"/>
        <v>0</v>
      </c>
    </row>
    <row r="1206">
      <c r="A1206" s="1" t="s">
        <v>560</v>
      </c>
      <c r="B1206" s="3">
        <v>16.0</v>
      </c>
      <c r="C1206" s="3">
        <v>60.0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2" t="str">
        <f>IFERROR(__xludf.DUMMYFUNCTION("INDEX(SPLIT(A1206, ""/""), 0, 2)"),"regex")</f>
        <v>regex</v>
      </c>
      <c r="J1206" s="2" t="b">
        <f t="shared" si="1"/>
        <v>0</v>
      </c>
    </row>
    <row r="1207">
      <c r="A1207" s="1" t="s">
        <v>561</v>
      </c>
      <c r="B1207" s="3">
        <v>762.0</v>
      </c>
      <c r="C1207" s="3">
        <v>60.0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2" t="str">
        <f>IFERROR(__xludf.DUMMYFUNCTION("INDEX(SPLIT(A1207, ""/""), 0, 2)"),"regex")</f>
        <v>regex</v>
      </c>
      <c r="J1207" s="2" t="b">
        <f t="shared" si="1"/>
        <v>0</v>
      </c>
    </row>
    <row r="1208">
      <c r="A1208" s="1" t="s">
        <v>562</v>
      </c>
      <c r="B1208" s="3">
        <v>33.0</v>
      </c>
      <c r="C1208" s="3">
        <v>60.0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0.0</v>
      </c>
      <c r="I1208" s="2" t="str">
        <f>IFERROR(__xludf.DUMMYFUNCTION("INDEX(SPLIT(A1208, ""/""), 0, 2)"),"regex")</f>
        <v>regex</v>
      </c>
      <c r="J1208" s="2" t="b">
        <f t="shared" si="1"/>
        <v>0</v>
      </c>
    </row>
    <row r="1209">
      <c r="A1209" s="1" t="s">
        <v>563</v>
      </c>
      <c r="B1209" s="3">
        <v>5.0</v>
      </c>
      <c r="C1209" s="3">
        <v>60.0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  <c r="I1209" s="2" t="str">
        <f>IFERROR(__xludf.DUMMYFUNCTION("INDEX(SPLIT(A1209, ""/""), 0, 2)"),"regex")</f>
        <v>regex</v>
      </c>
      <c r="J1209" s="2" t="b">
        <f t="shared" si="1"/>
        <v>0</v>
      </c>
    </row>
    <row r="1210">
      <c r="A1210" s="1" t="s">
        <v>564</v>
      </c>
      <c r="B1210" s="3">
        <v>64.0</v>
      </c>
      <c r="C1210" s="3">
        <v>60.0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2" t="str">
        <f>IFERROR(__xludf.DUMMYFUNCTION("INDEX(SPLIT(A1210, ""/""), 0, 2)"),"regex")</f>
        <v>regex</v>
      </c>
      <c r="J1210" s="2" t="b">
        <f t="shared" si="1"/>
        <v>0</v>
      </c>
    </row>
    <row r="1211">
      <c r="A1211" s="1" t="s">
        <v>565</v>
      </c>
      <c r="B1211" s="3">
        <v>19.0</v>
      </c>
      <c r="C1211" s="3">
        <v>60.0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2" t="str">
        <f>IFERROR(__xludf.DUMMYFUNCTION("INDEX(SPLIT(A1211, ""/""), 0, 2)"),"regex")</f>
        <v>regex</v>
      </c>
      <c r="J1211" s="2" t="b">
        <f t="shared" si="1"/>
        <v>0</v>
      </c>
    </row>
    <row r="1212">
      <c r="A1212" s="1" t="s">
        <v>566</v>
      </c>
      <c r="B1212" s="3">
        <v>72.0</v>
      </c>
      <c r="C1212" s="3">
        <v>60.0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2" t="str">
        <f>IFERROR(__xludf.DUMMYFUNCTION("INDEX(SPLIT(A1212, ""/""), 0, 2)"),"regex")</f>
        <v>regex</v>
      </c>
      <c r="J1212" s="2" t="b">
        <f t="shared" si="1"/>
        <v>0</v>
      </c>
    </row>
    <row r="1213">
      <c r="A1213" s="1" t="s">
        <v>567</v>
      </c>
      <c r="B1213" s="3">
        <v>27.0</v>
      </c>
      <c r="C1213" s="3">
        <v>60.0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2" t="str">
        <f>IFERROR(__xludf.DUMMYFUNCTION("INDEX(SPLIT(A1213, ""/""), 0, 2)"),"regex")</f>
        <v>regex</v>
      </c>
      <c r="J1213" s="2" t="b">
        <f t="shared" si="1"/>
        <v>0</v>
      </c>
    </row>
    <row r="1214">
      <c r="A1214" s="1" t="s">
        <v>568</v>
      </c>
      <c r="B1214" s="3">
        <v>27.0</v>
      </c>
      <c r="C1214" s="3">
        <v>60.0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2" t="str">
        <f>IFERROR(__xludf.DUMMYFUNCTION("INDEX(SPLIT(A1214, ""/""), 0, 2)"),"regex")</f>
        <v>regex</v>
      </c>
      <c r="J1214" s="2" t="b">
        <f t="shared" si="1"/>
        <v>0</v>
      </c>
    </row>
    <row r="1215">
      <c r="A1215" s="1" t="s">
        <v>569</v>
      </c>
      <c r="B1215" s="3">
        <v>48.0</v>
      </c>
      <c r="C1215" s="3">
        <v>60.0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2" t="str">
        <f>IFERROR(__xludf.DUMMYFUNCTION("INDEX(SPLIT(A1215, ""/""), 0, 2)"),"regex")</f>
        <v>regex</v>
      </c>
      <c r="J1215" s="2" t="b">
        <f t="shared" si="1"/>
        <v>0</v>
      </c>
    </row>
    <row r="1216">
      <c r="A1216" s="1" t="s">
        <v>570</v>
      </c>
      <c r="B1216" s="3">
        <v>162.0</v>
      </c>
      <c r="C1216" s="3">
        <v>60.0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2" t="str">
        <f>IFERROR(__xludf.DUMMYFUNCTION("INDEX(SPLIT(A1216, ""/""), 0, 2)"),"regex")</f>
        <v>regex</v>
      </c>
      <c r="J1216" s="2" t="b">
        <f t="shared" si="1"/>
        <v>0</v>
      </c>
    </row>
    <row r="1217">
      <c r="A1217" s="1" t="s">
        <v>571</v>
      </c>
      <c r="B1217" s="3">
        <v>55.0</v>
      </c>
      <c r="C1217" s="3">
        <v>60.0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2" t="str">
        <f>IFERROR(__xludf.DUMMYFUNCTION("INDEX(SPLIT(A1217, ""/""), 0, 2)"),"regex")</f>
        <v>regex</v>
      </c>
      <c r="J1217" s="2" t="b">
        <f t="shared" si="1"/>
        <v>0</v>
      </c>
    </row>
    <row r="1218">
      <c r="A1218" s="1" t="s">
        <v>572</v>
      </c>
      <c r="B1218" s="3">
        <v>68.0</v>
      </c>
      <c r="C1218" s="3">
        <v>60.0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2" t="str">
        <f>IFERROR(__xludf.DUMMYFUNCTION("INDEX(SPLIT(A1218, ""/""), 0, 2)"),"regex")</f>
        <v>regex</v>
      </c>
      <c r="J1218" s="2" t="b">
        <f t="shared" si="1"/>
        <v>0</v>
      </c>
    </row>
    <row r="1219">
      <c r="A1219" s="1" t="s">
        <v>573</v>
      </c>
      <c r="B1219" s="3">
        <v>16.0</v>
      </c>
      <c r="C1219" s="3">
        <v>60.0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2" t="str">
        <f>IFERROR(__xludf.DUMMYFUNCTION("INDEX(SPLIT(A1219, ""/""), 0, 2)"),"regex")</f>
        <v>regex</v>
      </c>
      <c r="J1219" s="2" t="b">
        <f t="shared" si="1"/>
        <v>0</v>
      </c>
    </row>
    <row r="1220">
      <c r="A1220" s="1" t="s">
        <v>574</v>
      </c>
      <c r="B1220" s="3">
        <v>23.0</v>
      </c>
      <c r="C1220" s="3">
        <v>60.0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2" t="str">
        <f>IFERROR(__xludf.DUMMYFUNCTION("INDEX(SPLIT(A1220, ""/""), 0, 2)"),"regex")</f>
        <v>regex</v>
      </c>
      <c r="J1220" s="2" t="b">
        <f t="shared" si="1"/>
        <v>0</v>
      </c>
    </row>
    <row r="1221">
      <c r="A1221" s="1" t="s">
        <v>575</v>
      </c>
      <c r="B1221" s="3">
        <v>39.0</v>
      </c>
      <c r="C1221" s="3">
        <v>60.0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2" t="str">
        <f>IFERROR(__xludf.DUMMYFUNCTION("INDEX(SPLIT(A1221, ""/""), 0, 2)"),"regex")</f>
        <v>regex</v>
      </c>
      <c r="J1221" s="2" t="b">
        <f t="shared" si="1"/>
        <v>0</v>
      </c>
    </row>
    <row r="1222">
      <c r="A1222" s="1" t="s">
        <v>576</v>
      </c>
      <c r="B1222" s="3">
        <v>27.0</v>
      </c>
      <c r="C1222" s="3">
        <v>60.0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2" t="str">
        <f>IFERROR(__xludf.DUMMYFUNCTION("INDEX(SPLIT(A1222, ""/""), 0, 2)"),"regex")</f>
        <v>regex</v>
      </c>
      <c r="J1222" s="2" t="b">
        <f t="shared" si="1"/>
        <v>0</v>
      </c>
    </row>
    <row r="1223">
      <c r="A1223" s="1" t="s">
        <v>577</v>
      </c>
      <c r="B1223" s="3">
        <v>10.0</v>
      </c>
      <c r="C1223" s="3">
        <v>60.0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2" t="str">
        <f>IFERROR(__xludf.DUMMYFUNCTION("INDEX(SPLIT(A1223, ""/""), 0, 2)"),"regex")</f>
        <v>regex</v>
      </c>
      <c r="J1223" s="2" t="b">
        <f t="shared" si="1"/>
        <v>0</v>
      </c>
    </row>
    <row r="1224">
      <c r="A1224" s="1" t="s">
        <v>578</v>
      </c>
      <c r="B1224" s="3">
        <v>11.0</v>
      </c>
      <c r="C1224" s="3">
        <v>60.0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2" t="str">
        <f>IFERROR(__xludf.DUMMYFUNCTION("INDEX(SPLIT(A1224, ""/""), 0, 2)"),"regex")</f>
        <v>regex</v>
      </c>
      <c r="J1224" s="2" t="b">
        <f t="shared" si="1"/>
        <v>0</v>
      </c>
    </row>
    <row r="1225">
      <c r="A1225" s="1" t="s">
        <v>579</v>
      </c>
      <c r="B1225" s="3">
        <v>87.0</v>
      </c>
      <c r="C1225" s="3">
        <v>60.0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2" t="str">
        <f>IFERROR(__xludf.DUMMYFUNCTION("INDEX(SPLIT(A1225, ""/""), 0, 2)"),"regex")</f>
        <v>regex</v>
      </c>
      <c r="J1225" s="2" t="b">
        <f t="shared" si="1"/>
        <v>0</v>
      </c>
    </row>
    <row r="1226">
      <c r="A1226" s="1" t="s">
        <v>580</v>
      </c>
      <c r="B1226" s="3">
        <v>43.0</v>
      </c>
      <c r="C1226" s="3">
        <v>60.0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2" t="str">
        <f>IFERROR(__xludf.DUMMYFUNCTION("INDEX(SPLIT(A1226, ""/""), 0, 2)"),"regex")</f>
        <v>regex</v>
      </c>
      <c r="J1226" s="2" t="b">
        <f t="shared" si="1"/>
        <v>0</v>
      </c>
    </row>
    <row r="1227">
      <c r="A1227" s="1" t="s">
        <v>581</v>
      </c>
      <c r="B1227" s="3">
        <v>56.0</v>
      </c>
      <c r="C1227" s="3">
        <v>60.0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2" t="str">
        <f>IFERROR(__xludf.DUMMYFUNCTION("INDEX(SPLIT(A1227, ""/""), 0, 2)"),"regex")</f>
        <v>regex</v>
      </c>
      <c r="J1227" s="2" t="b">
        <f t="shared" si="1"/>
        <v>0</v>
      </c>
    </row>
    <row r="1228">
      <c r="A1228" s="1" t="s">
        <v>582</v>
      </c>
      <c r="B1228" s="3">
        <v>107.0</v>
      </c>
      <c r="C1228" s="3">
        <v>60.0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2" t="str">
        <f>IFERROR(__xludf.DUMMYFUNCTION("INDEX(SPLIT(A1228, ""/""), 0, 2)"),"regex")</f>
        <v>regex</v>
      </c>
      <c r="J1228" s="2" t="b">
        <f t="shared" si="1"/>
        <v>0</v>
      </c>
    </row>
    <row r="1229">
      <c r="A1229" s="1" t="s">
        <v>583</v>
      </c>
      <c r="B1229" s="3">
        <v>192.0</v>
      </c>
      <c r="C1229" s="3">
        <v>60.0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2" t="str">
        <f>IFERROR(__xludf.DUMMYFUNCTION("INDEX(SPLIT(A1229, ""/""), 0, 2)"),"regex")</f>
        <v>regex</v>
      </c>
      <c r="J1229" s="2" t="b">
        <f t="shared" si="1"/>
        <v>0</v>
      </c>
    </row>
    <row r="1230">
      <c r="A1230" s="1" t="s">
        <v>584</v>
      </c>
      <c r="B1230" s="3">
        <v>24.0</v>
      </c>
      <c r="C1230" s="3">
        <v>60.0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2" t="str">
        <f>IFERROR(__xludf.DUMMYFUNCTION("INDEX(SPLIT(A1230, ""/""), 0, 2)"),"regex")</f>
        <v>regex</v>
      </c>
      <c r="J1230" s="2" t="b">
        <f t="shared" si="1"/>
        <v>0</v>
      </c>
    </row>
    <row r="1231">
      <c r="A1231" s="1" t="s">
        <v>585</v>
      </c>
      <c r="B1231" s="3">
        <v>28.0</v>
      </c>
      <c r="C1231" s="3">
        <v>60.0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2" t="str">
        <f>IFERROR(__xludf.DUMMYFUNCTION("INDEX(SPLIT(A1231, ""/""), 0, 2)"),"regex")</f>
        <v>regex</v>
      </c>
      <c r="J1231" s="2" t="b">
        <f t="shared" si="1"/>
        <v>0</v>
      </c>
    </row>
    <row r="1232">
      <c r="A1232" s="1" t="s">
        <v>586</v>
      </c>
      <c r="B1232" s="3">
        <v>59.0</v>
      </c>
      <c r="C1232" s="3">
        <v>60.0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2" t="str">
        <f>IFERROR(__xludf.DUMMYFUNCTION("INDEX(SPLIT(A1232, ""/""), 0, 2)"),"regex")</f>
        <v>regex</v>
      </c>
      <c r="J1232" s="2" t="b">
        <f t="shared" si="1"/>
        <v>0</v>
      </c>
    </row>
    <row r="1233">
      <c r="A1233" s="1" t="s">
        <v>587</v>
      </c>
      <c r="B1233" s="3">
        <v>31.0</v>
      </c>
      <c r="C1233" s="3">
        <v>60.0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  <c r="I1233" s="2" t="str">
        <f>IFERROR(__xludf.DUMMYFUNCTION("INDEX(SPLIT(A1233, ""/""), 0, 2)"),"regex")</f>
        <v>regex</v>
      </c>
      <c r="J1233" s="2" t="b">
        <f t="shared" si="1"/>
        <v>0</v>
      </c>
    </row>
    <row r="1234">
      <c r="A1234" s="1" t="s">
        <v>588</v>
      </c>
      <c r="B1234" s="3">
        <v>68.0</v>
      </c>
      <c r="C1234" s="3">
        <v>60.0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2" t="str">
        <f>IFERROR(__xludf.DUMMYFUNCTION("INDEX(SPLIT(A1234, ""/""), 0, 2)"),"regex")</f>
        <v>regex</v>
      </c>
      <c r="J1234" s="2" t="b">
        <f t="shared" si="1"/>
        <v>0</v>
      </c>
    </row>
    <row r="1235">
      <c r="A1235" s="1" t="s">
        <v>589</v>
      </c>
      <c r="B1235" s="3">
        <v>33.0</v>
      </c>
      <c r="C1235" s="3">
        <v>60.0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2" t="str">
        <f>IFERROR(__xludf.DUMMYFUNCTION("INDEX(SPLIT(A1235, ""/""), 0, 2)"),"regex")</f>
        <v>regex</v>
      </c>
      <c r="J1235" s="2" t="b">
        <f t="shared" si="1"/>
        <v>0</v>
      </c>
    </row>
    <row r="1236">
      <c r="A1236" s="1" t="s">
        <v>590</v>
      </c>
      <c r="B1236" s="3">
        <v>43.0</v>
      </c>
      <c r="C1236" s="3">
        <v>60.0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2" t="str">
        <f>IFERROR(__xludf.DUMMYFUNCTION("INDEX(SPLIT(A1236, ""/""), 0, 2)"),"regex")</f>
        <v>regex</v>
      </c>
      <c r="J1236" s="2" t="b">
        <f t="shared" si="1"/>
        <v>0</v>
      </c>
    </row>
    <row r="1237">
      <c r="A1237" s="1" t="s">
        <v>591</v>
      </c>
      <c r="B1237" s="3">
        <v>71.0</v>
      </c>
      <c r="C1237" s="3">
        <v>60.0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2" t="str">
        <f>IFERROR(__xludf.DUMMYFUNCTION("INDEX(SPLIT(A1237, ""/""), 0, 2)"),"regex")</f>
        <v>regex</v>
      </c>
      <c r="J1237" s="2" t="b">
        <f t="shared" si="1"/>
        <v>0</v>
      </c>
    </row>
    <row r="1238">
      <c r="A1238" s="1" t="s">
        <v>592</v>
      </c>
      <c r="B1238" s="3">
        <v>10.0</v>
      </c>
      <c r="C1238" s="3">
        <v>60.0</v>
      </c>
      <c r="D1238" s="3">
        <v>0.0</v>
      </c>
      <c r="E1238" s="3">
        <v>0.0</v>
      </c>
      <c r="F1238" s="3">
        <v>0.0</v>
      </c>
      <c r="G1238" s="3">
        <v>0.0</v>
      </c>
      <c r="H1238" s="3">
        <v>0.0</v>
      </c>
      <c r="I1238" s="2" t="str">
        <f>IFERROR(__xludf.DUMMYFUNCTION("INDEX(SPLIT(A1238, ""/""), 0, 2)"),"regex")</f>
        <v>regex</v>
      </c>
      <c r="J1238" s="2" t="b">
        <f t="shared" si="1"/>
        <v>0</v>
      </c>
    </row>
    <row r="1239">
      <c r="A1239" s="1" t="s">
        <v>593</v>
      </c>
      <c r="B1239" s="3">
        <v>88.0</v>
      </c>
      <c r="C1239" s="3">
        <v>60.0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2" t="str">
        <f>IFERROR(__xludf.DUMMYFUNCTION("INDEX(SPLIT(A1239, ""/""), 0, 2)"),"regex")</f>
        <v>regex</v>
      </c>
      <c r="J1239" s="2" t="b">
        <f t="shared" si="1"/>
        <v>0</v>
      </c>
    </row>
    <row r="1240">
      <c r="A1240" s="1" t="s">
        <v>594</v>
      </c>
      <c r="B1240" s="3">
        <v>34.0</v>
      </c>
      <c r="C1240" s="3">
        <v>60.0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2" t="str">
        <f>IFERROR(__xludf.DUMMYFUNCTION("INDEX(SPLIT(A1240, ""/""), 0, 2)"),"regex")</f>
        <v>regex</v>
      </c>
      <c r="J1240" s="2" t="b">
        <f t="shared" si="1"/>
        <v>0</v>
      </c>
    </row>
    <row r="1241">
      <c r="A1241" s="1" t="s">
        <v>595</v>
      </c>
      <c r="B1241" s="3">
        <v>9.0</v>
      </c>
      <c r="C1241" s="3">
        <v>60.0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2" t="str">
        <f>IFERROR(__xludf.DUMMYFUNCTION("INDEX(SPLIT(A1241, ""/""), 0, 2)"),"regex")</f>
        <v>regex</v>
      </c>
      <c r="J1241" s="2" t="b">
        <f t="shared" si="1"/>
        <v>0</v>
      </c>
    </row>
    <row r="1242">
      <c r="A1242" s="1" t="s">
        <v>596</v>
      </c>
      <c r="B1242" s="3">
        <v>30.0</v>
      </c>
      <c r="C1242" s="3">
        <v>60.0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2" t="str">
        <f>IFERROR(__xludf.DUMMYFUNCTION("INDEX(SPLIT(A1242, ""/""), 0, 2)"),"regex")</f>
        <v>regex</v>
      </c>
      <c r="J1242" s="2" t="b">
        <f t="shared" si="1"/>
        <v>0</v>
      </c>
    </row>
    <row r="1243">
      <c r="A1243" s="1" t="s">
        <v>597</v>
      </c>
      <c r="B1243" s="3">
        <v>38.0</v>
      </c>
      <c r="C1243" s="3">
        <v>60.0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2" t="str">
        <f>IFERROR(__xludf.DUMMYFUNCTION("INDEX(SPLIT(A1243, ""/""), 0, 2)"),"regex")</f>
        <v>regex</v>
      </c>
      <c r="J1243" s="2" t="b">
        <f t="shared" si="1"/>
        <v>0</v>
      </c>
    </row>
    <row r="1244">
      <c r="A1244" s="1" t="s">
        <v>598</v>
      </c>
      <c r="B1244" s="3">
        <v>66.0</v>
      </c>
      <c r="C1244" s="3">
        <v>60.0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2" t="str">
        <f>IFERROR(__xludf.DUMMYFUNCTION("INDEX(SPLIT(A1244, ""/""), 0, 2)"),"regex")</f>
        <v>regex</v>
      </c>
      <c r="J1244" s="2" t="b">
        <f t="shared" si="1"/>
        <v>0</v>
      </c>
    </row>
    <row r="1245">
      <c r="A1245" s="1" t="s">
        <v>599</v>
      </c>
      <c r="B1245" s="3">
        <v>60.0</v>
      </c>
      <c r="C1245" s="3">
        <v>60.0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2" t="str">
        <f>IFERROR(__xludf.DUMMYFUNCTION("INDEX(SPLIT(A1245, ""/""), 0, 2)"),"regex")</f>
        <v>regex</v>
      </c>
      <c r="J1245" s="2" t="b">
        <f t="shared" si="1"/>
        <v>0</v>
      </c>
    </row>
    <row r="1246">
      <c r="A1246" s="1" t="s">
        <v>600</v>
      </c>
      <c r="B1246" s="3">
        <v>53.0</v>
      </c>
      <c r="C1246" s="3">
        <v>60.0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2" t="str">
        <f>IFERROR(__xludf.DUMMYFUNCTION("INDEX(SPLIT(A1246, ""/""), 0, 2)"),"regex")</f>
        <v>regex</v>
      </c>
      <c r="J1246" s="2" t="b">
        <f t="shared" si="1"/>
        <v>0</v>
      </c>
    </row>
    <row r="1247">
      <c r="A1247" s="1" t="s">
        <v>601</v>
      </c>
      <c r="B1247" s="3">
        <v>33.0</v>
      </c>
      <c r="C1247" s="3">
        <v>60.0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2" t="str">
        <f>IFERROR(__xludf.DUMMYFUNCTION("INDEX(SPLIT(A1247, ""/""), 0, 2)"),"regex")</f>
        <v>regex</v>
      </c>
      <c r="J1247" s="2" t="b">
        <f t="shared" si="1"/>
        <v>0</v>
      </c>
    </row>
    <row r="1248">
      <c r="A1248" s="1" t="s">
        <v>602</v>
      </c>
      <c r="B1248" s="3">
        <v>42.0</v>
      </c>
      <c r="C1248" s="3">
        <v>60.0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2" t="str">
        <f>IFERROR(__xludf.DUMMYFUNCTION("INDEX(SPLIT(A1248, ""/""), 0, 2)"),"regex")</f>
        <v>regex</v>
      </c>
      <c r="J1248" s="2" t="b">
        <f t="shared" si="1"/>
        <v>0</v>
      </c>
    </row>
    <row r="1249">
      <c r="A1249" s="1" t="s">
        <v>603</v>
      </c>
      <c r="B1249" s="3">
        <v>35.0</v>
      </c>
      <c r="C1249" s="3">
        <v>60.0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2" t="str">
        <f>IFERROR(__xludf.DUMMYFUNCTION("INDEX(SPLIT(A1249, ""/""), 0, 2)"),"regex")</f>
        <v>regex</v>
      </c>
      <c r="J1249" s="2" t="b">
        <f t="shared" si="1"/>
        <v>0</v>
      </c>
    </row>
    <row r="1250">
      <c r="A1250" s="1" t="s">
        <v>604</v>
      </c>
      <c r="B1250" s="3">
        <v>203.0</v>
      </c>
      <c r="C1250" s="3">
        <v>60.0</v>
      </c>
      <c r="D1250" s="3">
        <v>1.0</v>
      </c>
      <c r="E1250" s="3">
        <v>0.0</v>
      </c>
      <c r="F1250" s="3">
        <v>0.0</v>
      </c>
      <c r="G1250" s="3">
        <v>0.0</v>
      </c>
      <c r="H1250" s="3">
        <v>0.0</v>
      </c>
      <c r="I1250" s="2" t="str">
        <f>IFERROR(__xludf.DUMMYFUNCTION("INDEX(SPLIT(A1250, ""/""), 0, 2)"),"regex")</f>
        <v>regex</v>
      </c>
      <c r="J1250" s="2" t="b">
        <f t="shared" si="1"/>
        <v>0</v>
      </c>
    </row>
    <row r="1251">
      <c r="A1251" s="1" t="s">
        <v>605</v>
      </c>
      <c r="B1251" s="3">
        <v>34.0</v>
      </c>
      <c r="C1251" s="3">
        <v>60.0</v>
      </c>
      <c r="D1251" s="3">
        <v>0.0</v>
      </c>
      <c r="E1251" s="3">
        <v>0.0</v>
      </c>
      <c r="F1251" s="3">
        <v>0.0</v>
      </c>
      <c r="G1251" s="3">
        <v>0.0</v>
      </c>
      <c r="H1251" s="3">
        <v>0.0</v>
      </c>
      <c r="I1251" s="2" t="str">
        <f>IFERROR(__xludf.DUMMYFUNCTION("INDEX(SPLIT(A1251, ""/""), 0, 2)"),"regex")</f>
        <v>regex</v>
      </c>
      <c r="J1251" s="2" t="b">
        <f t="shared" si="1"/>
        <v>0</v>
      </c>
    </row>
    <row r="1252">
      <c r="A1252" s="1" t="s">
        <v>606</v>
      </c>
      <c r="B1252" s="3">
        <v>861.0</v>
      </c>
      <c r="C1252" s="3">
        <v>60.0</v>
      </c>
      <c r="D1252" s="3">
        <v>15.0</v>
      </c>
      <c r="E1252" s="3">
        <v>0.0</v>
      </c>
      <c r="F1252" s="3">
        <v>0.0</v>
      </c>
      <c r="G1252" s="3">
        <v>1.0</v>
      </c>
      <c r="H1252" s="3">
        <v>0.0</v>
      </c>
      <c r="I1252" s="2" t="str">
        <f>IFERROR(__xludf.DUMMYFUNCTION("INDEX(SPLIT(A1252, ""/""), 0, 2)"),"regex")</f>
        <v>regex</v>
      </c>
      <c r="J1252" s="2" t="b">
        <f t="shared" si="1"/>
        <v>1</v>
      </c>
    </row>
    <row r="1253">
      <c r="A1253" s="1" t="s">
        <v>607</v>
      </c>
      <c r="B1253" s="3">
        <v>54.0</v>
      </c>
      <c r="C1253" s="3">
        <v>60.0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2" t="str">
        <f>IFERROR(__xludf.DUMMYFUNCTION("INDEX(SPLIT(A1253, ""/""), 0, 2)"),"regex")</f>
        <v>regex</v>
      </c>
      <c r="J1253" s="2" t="b">
        <f t="shared" si="1"/>
        <v>0</v>
      </c>
    </row>
    <row r="1254">
      <c r="A1254" s="1" t="s">
        <v>608</v>
      </c>
      <c r="B1254" s="3">
        <v>216.0</v>
      </c>
      <c r="C1254" s="3">
        <v>60.0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2" t="str">
        <f>IFERROR(__xludf.DUMMYFUNCTION("INDEX(SPLIT(A1254, ""/""), 0, 2)"),"regex")</f>
        <v>regex</v>
      </c>
      <c r="J1254" s="2" t="b">
        <f t="shared" si="1"/>
        <v>0</v>
      </c>
    </row>
    <row r="1255">
      <c r="A1255" s="1" t="s">
        <v>609</v>
      </c>
      <c r="B1255" s="3">
        <v>15.0</v>
      </c>
      <c r="C1255" s="3">
        <v>60.0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2" t="str">
        <f>IFERROR(__xludf.DUMMYFUNCTION("INDEX(SPLIT(A1255, ""/""), 0, 2)"),"regex")</f>
        <v>regex</v>
      </c>
      <c r="J1255" s="2" t="b">
        <f t="shared" si="1"/>
        <v>0</v>
      </c>
    </row>
    <row r="1256">
      <c r="A1256" s="1" t="s">
        <v>610</v>
      </c>
      <c r="B1256" s="3">
        <v>12.0</v>
      </c>
      <c r="C1256" s="3">
        <v>60.0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2" t="str">
        <f>IFERROR(__xludf.DUMMYFUNCTION("INDEX(SPLIT(A1256, ""/""), 0, 2)"),"regex")</f>
        <v>regex</v>
      </c>
      <c r="J1256" s="2" t="b">
        <f t="shared" si="1"/>
        <v>0</v>
      </c>
    </row>
    <row r="1257">
      <c r="A1257" s="1" t="s">
        <v>611</v>
      </c>
      <c r="B1257" s="3">
        <v>20.0</v>
      </c>
      <c r="C1257" s="3">
        <v>60.0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2" t="str">
        <f>IFERROR(__xludf.DUMMYFUNCTION("INDEX(SPLIT(A1257, ""/""), 0, 2)"),"regex")</f>
        <v>regex</v>
      </c>
      <c r="J1257" s="2" t="b">
        <f t="shared" si="1"/>
        <v>0</v>
      </c>
    </row>
    <row r="1258">
      <c r="A1258" s="1" t="s">
        <v>612</v>
      </c>
      <c r="B1258" s="3">
        <v>37.0</v>
      </c>
      <c r="C1258" s="3">
        <v>60.0</v>
      </c>
      <c r="D1258" s="3">
        <v>0.0</v>
      </c>
      <c r="E1258" s="3">
        <v>0.0</v>
      </c>
      <c r="F1258" s="3">
        <v>0.0</v>
      </c>
      <c r="G1258" s="3">
        <v>0.0</v>
      </c>
      <c r="H1258" s="3">
        <v>0.0</v>
      </c>
      <c r="I1258" s="2" t="str">
        <f>IFERROR(__xludf.DUMMYFUNCTION("INDEX(SPLIT(A1258, ""/""), 0, 2)"),"regex")</f>
        <v>regex</v>
      </c>
      <c r="J1258" s="2" t="b">
        <f t="shared" si="1"/>
        <v>0</v>
      </c>
    </row>
    <row r="1259">
      <c r="A1259" s="1" t="s">
        <v>613</v>
      </c>
      <c r="B1259" s="3">
        <v>72.0</v>
      </c>
      <c r="C1259" s="3">
        <v>60.0</v>
      </c>
      <c r="D1259" s="3">
        <v>0.0</v>
      </c>
      <c r="E1259" s="3">
        <v>0.0</v>
      </c>
      <c r="F1259" s="3">
        <v>0.0</v>
      </c>
      <c r="G1259" s="3">
        <v>0.0</v>
      </c>
      <c r="H1259" s="3">
        <v>0.0</v>
      </c>
      <c r="I1259" s="2" t="str">
        <f>IFERROR(__xludf.DUMMYFUNCTION("INDEX(SPLIT(A1259, ""/""), 0, 2)"),"regex")</f>
        <v>regex</v>
      </c>
      <c r="J1259" s="2" t="b">
        <f t="shared" si="1"/>
        <v>0</v>
      </c>
    </row>
    <row r="1260">
      <c r="A1260" s="1" t="s">
        <v>614</v>
      </c>
      <c r="B1260" s="3">
        <v>14.0</v>
      </c>
      <c r="C1260" s="3">
        <v>60.0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2" t="str">
        <f>IFERROR(__xludf.DUMMYFUNCTION("INDEX(SPLIT(A1260, ""/""), 0, 2)"),"regex")</f>
        <v>regex</v>
      </c>
      <c r="J1260" s="2" t="b">
        <f t="shared" si="1"/>
        <v>0</v>
      </c>
    </row>
    <row r="1261">
      <c r="A1261" s="1" t="s">
        <v>615</v>
      </c>
      <c r="B1261" s="3">
        <v>34.0</v>
      </c>
      <c r="C1261" s="3">
        <v>60.0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2" t="str">
        <f>IFERROR(__xludf.DUMMYFUNCTION("INDEX(SPLIT(A1261, ""/""), 0, 2)"),"regex")</f>
        <v>regex</v>
      </c>
      <c r="J1261" s="2" t="b">
        <f t="shared" si="1"/>
        <v>0</v>
      </c>
    </row>
    <row r="1262">
      <c r="A1262" s="1" t="s">
        <v>616</v>
      </c>
      <c r="B1262" s="3">
        <v>86.0</v>
      </c>
      <c r="C1262" s="3">
        <v>60.0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2" t="str">
        <f>IFERROR(__xludf.DUMMYFUNCTION("INDEX(SPLIT(A1262, ""/""), 0, 2)"),"regex")</f>
        <v>regex</v>
      </c>
      <c r="J1262" s="2" t="b">
        <f t="shared" si="1"/>
        <v>0</v>
      </c>
    </row>
    <row r="1263">
      <c r="A1263" s="1" t="s">
        <v>617</v>
      </c>
      <c r="B1263" s="3">
        <v>16.0</v>
      </c>
      <c r="C1263" s="3">
        <v>60.0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2" t="str">
        <f>IFERROR(__xludf.DUMMYFUNCTION("INDEX(SPLIT(A1263, ""/""), 0, 2)"),"regex")</f>
        <v>regex</v>
      </c>
      <c r="J1263" s="2" t="b">
        <f t="shared" si="1"/>
        <v>0</v>
      </c>
    </row>
    <row r="1264">
      <c r="A1264" s="1" t="s">
        <v>618</v>
      </c>
      <c r="B1264" s="3">
        <v>50.0</v>
      </c>
      <c r="C1264" s="3">
        <v>60.0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2" t="str">
        <f>IFERROR(__xludf.DUMMYFUNCTION("INDEX(SPLIT(A1264, ""/""), 0, 2)"),"regex")</f>
        <v>regex</v>
      </c>
      <c r="J1264" s="2" t="b">
        <f t="shared" si="1"/>
        <v>0</v>
      </c>
    </row>
    <row r="1265">
      <c r="A1265" s="1" t="s">
        <v>619</v>
      </c>
      <c r="B1265" s="3">
        <v>54.0</v>
      </c>
      <c r="C1265" s="3">
        <v>60.0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2" t="str">
        <f>IFERROR(__xludf.DUMMYFUNCTION("INDEX(SPLIT(A1265, ""/""), 0, 2)"),"regex")</f>
        <v>regex</v>
      </c>
      <c r="J1265" s="2" t="b">
        <f t="shared" si="1"/>
        <v>0</v>
      </c>
    </row>
    <row r="1266">
      <c r="A1266" s="1" t="s">
        <v>620</v>
      </c>
      <c r="B1266" s="3">
        <v>89.0</v>
      </c>
      <c r="C1266" s="3">
        <v>60.0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2" t="str">
        <f>IFERROR(__xludf.DUMMYFUNCTION("INDEX(SPLIT(A1266, ""/""), 0, 2)"),"regex")</f>
        <v>regex</v>
      </c>
      <c r="J1266" s="2" t="b">
        <f t="shared" si="1"/>
        <v>0</v>
      </c>
    </row>
    <row r="1267">
      <c r="A1267" s="1" t="s">
        <v>621</v>
      </c>
      <c r="B1267" s="3">
        <v>3.0</v>
      </c>
      <c r="C1267" s="3">
        <v>60.0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2" t="str">
        <f>IFERROR(__xludf.DUMMYFUNCTION("INDEX(SPLIT(A1267, ""/""), 0, 2)"),"regex")</f>
        <v>regex</v>
      </c>
      <c r="J1267" s="2" t="b">
        <f t="shared" si="1"/>
        <v>0</v>
      </c>
    </row>
    <row r="1268">
      <c r="A1268" s="1" t="s">
        <v>622</v>
      </c>
      <c r="B1268" s="3">
        <v>4.0</v>
      </c>
      <c r="C1268" s="3">
        <v>60.0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2" t="str">
        <f>IFERROR(__xludf.DUMMYFUNCTION("INDEX(SPLIT(A1268, ""/""), 0, 2)"),"regex")</f>
        <v>regex</v>
      </c>
      <c r="J1268" s="2" t="b">
        <f t="shared" si="1"/>
        <v>0</v>
      </c>
    </row>
    <row r="1269">
      <c r="A1269" s="1" t="s">
        <v>623</v>
      </c>
      <c r="B1269" s="3">
        <v>251.0</v>
      </c>
      <c r="C1269" s="3">
        <v>60.0</v>
      </c>
      <c r="D1269" s="3">
        <v>1.0</v>
      </c>
      <c r="E1269" s="3">
        <v>0.0</v>
      </c>
      <c r="F1269" s="3">
        <v>0.0</v>
      </c>
      <c r="G1269" s="3">
        <v>0.0</v>
      </c>
      <c r="H1269" s="3">
        <v>0.0</v>
      </c>
      <c r="I1269" s="2" t="str">
        <f>IFERROR(__xludf.DUMMYFUNCTION("INDEX(SPLIT(A1269, ""/""), 0, 2)"),"regex")</f>
        <v>regex</v>
      </c>
      <c r="J1269" s="2" t="b">
        <f t="shared" si="1"/>
        <v>0</v>
      </c>
    </row>
    <row r="1270">
      <c r="A1270" s="1" t="s">
        <v>624</v>
      </c>
      <c r="B1270" s="3">
        <v>40.0</v>
      </c>
      <c r="C1270" s="3">
        <v>60.0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2" t="str">
        <f>IFERROR(__xludf.DUMMYFUNCTION("INDEX(SPLIT(A1270, ""/""), 0, 2)"),"regex")</f>
        <v>regex</v>
      </c>
      <c r="J1270" s="2" t="b">
        <f t="shared" si="1"/>
        <v>0</v>
      </c>
    </row>
    <row r="1271">
      <c r="A1271" s="1" t="s">
        <v>625</v>
      </c>
      <c r="B1271" s="3">
        <v>59.0</v>
      </c>
      <c r="C1271" s="3">
        <v>60.0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2" t="str">
        <f>IFERROR(__xludf.DUMMYFUNCTION("INDEX(SPLIT(A1271, ""/""), 0, 2)"),"regex")</f>
        <v>regex</v>
      </c>
      <c r="J1271" s="2" t="b">
        <f t="shared" si="1"/>
        <v>0</v>
      </c>
    </row>
    <row r="1272">
      <c r="A1272" s="1" t="s">
        <v>626</v>
      </c>
      <c r="B1272" s="3">
        <v>39.0</v>
      </c>
      <c r="C1272" s="3">
        <v>60.0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2" t="str">
        <f>IFERROR(__xludf.DUMMYFUNCTION("INDEX(SPLIT(A1272, ""/""), 0, 2)"),"regex")</f>
        <v>regex</v>
      </c>
      <c r="J1272" s="2" t="b">
        <f t="shared" si="1"/>
        <v>0</v>
      </c>
    </row>
    <row r="1273">
      <c r="A1273" s="1" t="s">
        <v>627</v>
      </c>
      <c r="B1273" s="3">
        <v>39.0</v>
      </c>
      <c r="C1273" s="3">
        <v>60.0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2" t="str">
        <f>IFERROR(__xludf.DUMMYFUNCTION("INDEX(SPLIT(A1273, ""/""), 0, 2)"),"regex")</f>
        <v>regex</v>
      </c>
      <c r="J1273" s="2" t="b">
        <f t="shared" si="1"/>
        <v>0</v>
      </c>
    </row>
    <row r="1274">
      <c r="A1274" s="1" t="s">
        <v>628</v>
      </c>
      <c r="B1274" s="3">
        <v>27.0</v>
      </c>
      <c r="C1274" s="3">
        <v>60.0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2" t="str">
        <f>IFERROR(__xludf.DUMMYFUNCTION("INDEX(SPLIT(A1274, ""/""), 0, 2)"),"regex")</f>
        <v>regex</v>
      </c>
      <c r="J1274" s="2" t="b">
        <f t="shared" si="1"/>
        <v>0</v>
      </c>
    </row>
    <row r="1275">
      <c r="A1275" s="1" t="s">
        <v>629</v>
      </c>
      <c r="B1275" s="3">
        <v>41.0</v>
      </c>
      <c r="C1275" s="3">
        <v>60.0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2" t="str">
        <f>IFERROR(__xludf.DUMMYFUNCTION("INDEX(SPLIT(A1275, ""/""), 0, 2)"),"regex")</f>
        <v>regex</v>
      </c>
      <c r="J1275" s="2" t="b">
        <f t="shared" si="1"/>
        <v>0</v>
      </c>
    </row>
    <row r="1276">
      <c r="A1276" s="1" t="s">
        <v>630</v>
      </c>
      <c r="B1276" s="3">
        <v>55.0</v>
      </c>
      <c r="C1276" s="3">
        <v>60.0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2" t="str">
        <f>IFERROR(__xludf.DUMMYFUNCTION("INDEX(SPLIT(A1276, ""/""), 0, 2)"),"regex")</f>
        <v>regex</v>
      </c>
      <c r="J1276" s="2" t="b">
        <f t="shared" si="1"/>
        <v>0</v>
      </c>
    </row>
    <row r="1277">
      <c r="A1277" s="1" t="s">
        <v>631</v>
      </c>
      <c r="B1277" s="3">
        <v>84.0</v>
      </c>
      <c r="C1277" s="3">
        <v>60.0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2" t="str">
        <f>IFERROR(__xludf.DUMMYFUNCTION("INDEX(SPLIT(A1277, ""/""), 0, 2)"),"regex")</f>
        <v>regex</v>
      </c>
      <c r="J1277" s="2" t="b">
        <f t="shared" si="1"/>
        <v>0</v>
      </c>
    </row>
    <row r="1278">
      <c r="A1278" s="1" t="s">
        <v>632</v>
      </c>
      <c r="B1278" s="3">
        <v>33.0</v>
      </c>
      <c r="C1278" s="3">
        <v>60.0</v>
      </c>
      <c r="D1278" s="3">
        <v>0.0</v>
      </c>
      <c r="E1278" s="3">
        <v>0.0</v>
      </c>
      <c r="F1278" s="3">
        <v>0.0</v>
      </c>
      <c r="G1278" s="3">
        <v>0.0</v>
      </c>
      <c r="H1278" s="3">
        <v>0.0</v>
      </c>
      <c r="I1278" s="2" t="str">
        <f>IFERROR(__xludf.DUMMYFUNCTION("INDEX(SPLIT(A1278, ""/""), 0, 2)"),"regex")</f>
        <v>regex</v>
      </c>
      <c r="J1278" s="2" t="b">
        <f t="shared" si="1"/>
        <v>0</v>
      </c>
    </row>
    <row r="1279">
      <c r="A1279" s="1" t="s">
        <v>633</v>
      </c>
      <c r="B1279" s="3">
        <v>32.0</v>
      </c>
      <c r="C1279" s="3">
        <v>60.0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2" t="str">
        <f>IFERROR(__xludf.DUMMYFUNCTION("INDEX(SPLIT(A1279, ""/""), 0, 2)"),"regex")</f>
        <v>regex</v>
      </c>
      <c r="J1279" s="2" t="b">
        <f t="shared" si="1"/>
        <v>0</v>
      </c>
    </row>
    <row r="1280">
      <c r="A1280" s="1" t="s">
        <v>634</v>
      </c>
      <c r="B1280" s="3">
        <v>73.0</v>
      </c>
      <c r="C1280" s="3">
        <v>60.0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2" t="str">
        <f>IFERROR(__xludf.DUMMYFUNCTION("INDEX(SPLIT(A1280, ""/""), 0, 2)"),"regex")</f>
        <v>regex</v>
      </c>
      <c r="J1280" s="2" t="b">
        <f t="shared" si="1"/>
        <v>0</v>
      </c>
    </row>
    <row r="1281">
      <c r="A1281" s="1" t="s">
        <v>635</v>
      </c>
      <c r="B1281" s="3">
        <v>30.0</v>
      </c>
      <c r="C1281" s="3">
        <v>60.0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2" t="str">
        <f>IFERROR(__xludf.DUMMYFUNCTION("INDEX(SPLIT(A1281, ""/""), 0, 2)"),"regex")</f>
        <v>regex</v>
      </c>
      <c r="J1281" s="2" t="b">
        <f t="shared" si="1"/>
        <v>0</v>
      </c>
    </row>
    <row r="1282">
      <c r="A1282" s="1" t="s">
        <v>636</v>
      </c>
      <c r="B1282" s="3">
        <v>85.0</v>
      </c>
      <c r="C1282" s="3">
        <v>60.0</v>
      </c>
      <c r="D1282" s="3">
        <v>0.0</v>
      </c>
      <c r="E1282" s="3">
        <v>0.0</v>
      </c>
      <c r="F1282" s="3">
        <v>0.0</v>
      </c>
      <c r="G1282" s="3">
        <v>0.0</v>
      </c>
      <c r="H1282" s="3">
        <v>0.0</v>
      </c>
      <c r="I1282" s="2" t="str">
        <f>IFERROR(__xludf.DUMMYFUNCTION("INDEX(SPLIT(A1282, ""/""), 0, 2)"),"regex")</f>
        <v>regex</v>
      </c>
      <c r="J1282" s="2" t="b">
        <f t="shared" si="1"/>
        <v>0</v>
      </c>
    </row>
    <row r="1283">
      <c r="A1283" s="1" t="s">
        <v>637</v>
      </c>
      <c r="B1283" s="3">
        <v>87.0</v>
      </c>
      <c r="C1283" s="3">
        <v>60.0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2" t="str">
        <f>IFERROR(__xludf.DUMMYFUNCTION("INDEX(SPLIT(A1283, ""/""), 0, 2)"),"regex")</f>
        <v>regex</v>
      </c>
      <c r="J1283" s="2" t="b">
        <f t="shared" si="1"/>
        <v>0</v>
      </c>
    </row>
    <row r="1284">
      <c r="A1284" s="1" t="s">
        <v>638</v>
      </c>
      <c r="B1284" s="3">
        <v>29.0</v>
      </c>
      <c r="C1284" s="3">
        <v>60.0</v>
      </c>
      <c r="D1284" s="3">
        <v>0.0</v>
      </c>
      <c r="E1284" s="3">
        <v>0.0</v>
      </c>
      <c r="F1284" s="3">
        <v>0.0</v>
      </c>
      <c r="G1284" s="3">
        <v>0.0</v>
      </c>
      <c r="H1284" s="3">
        <v>0.0</v>
      </c>
      <c r="I1284" s="2" t="str">
        <f>IFERROR(__xludf.DUMMYFUNCTION("INDEX(SPLIT(A1284, ""/""), 0, 2)"),"regex")</f>
        <v>regex</v>
      </c>
      <c r="J1284" s="2" t="b">
        <f t="shared" si="1"/>
        <v>0</v>
      </c>
    </row>
    <row r="1285">
      <c r="A1285" s="1" t="s">
        <v>639</v>
      </c>
      <c r="B1285" s="3">
        <v>178.0</v>
      </c>
      <c r="C1285" s="3">
        <v>60.0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2" t="str">
        <f>IFERROR(__xludf.DUMMYFUNCTION("INDEX(SPLIT(A1285, ""/""), 0, 2)"),"regex")</f>
        <v>regex</v>
      </c>
      <c r="J1285" s="2" t="b">
        <f t="shared" si="1"/>
        <v>0</v>
      </c>
    </row>
    <row r="1286">
      <c r="A1286" s="1" t="s">
        <v>640</v>
      </c>
      <c r="B1286" s="3">
        <v>4.0</v>
      </c>
      <c r="C1286" s="3">
        <v>60.0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2" t="str">
        <f>IFERROR(__xludf.DUMMYFUNCTION("INDEX(SPLIT(A1286, ""/""), 0, 2)"),"regex")</f>
        <v>regex</v>
      </c>
      <c r="J1286" s="2" t="b">
        <f t="shared" si="1"/>
        <v>0</v>
      </c>
    </row>
    <row r="1287">
      <c r="A1287" s="1" t="s">
        <v>641</v>
      </c>
      <c r="B1287" s="3">
        <v>64.0</v>
      </c>
      <c r="C1287" s="3">
        <v>60.0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2" t="str">
        <f>IFERROR(__xludf.DUMMYFUNCTION("INDEX(SPLIT(A1287, ""/""), 0, 2)"),"regex")</f>
        <v>regex</v>
      </c>
      <c r="J1287" s="2" t="b">
        <f t="shared" si="1"/>
        <v>0</v>
      </c>
    </row>
    <row r="1288">
      <c r="A1288" s="1" t="s">
        <v>642</v>
      </c>
      <c r="B1288" s="3">
        <v>108.0</v>
      </c>
      <c r="C1288" s="3">
        <v>60.0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2" t="str">
        <f>IFERROR(__xludf.DUMMYFUNCTION("INDEX(SPLIT(A1288, ""/""), 0, 2)"),"regex")</f>
        <v>regex</v>
      </c>
      <c r="J1288" s="2" t="b">
        <f t="shared" si="1"/>
        <v>0</v>
      </c>
    </row>
    <row r="1289">
      <c r="A1289" s="1" t="s">
        <v>643</v>
      </c>
      <c r="B1289" s="3">
        <v>10.0</v>
      </c>
      <c r="C1289" s="3">
        <v>60.0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2" t="str">
        <f>IFERROR(__xludf.DUMMYFUNCTION("INDEX(SPLIT(A1289, ""/""), 0, 2)"),"regex")</f>
        <v>regex</v>
      </c>
      <c r="J1289" s="2" t="b">
        <f t="shared" si="1"/>
        <v>0</v>
      </c>
    </row>
    <row r="1290">
      <c r="A1290" s="1" t="s">
        <v>644</v>
      </c>
      <c r="B1290" s="3">
        <v>39.0</v>
      </c>
      <c r="C1290" s="3">
        <v>60.0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2" t="str">
        <f>IFERROR(__xludf.DUMMYFUNCTION("INDEX(SPLIT(A1290, ""/""), 0, 2)"),"regex")</f>
        <v>regex</v>
      </c>
      <c r="J1290" s="2" t="b">
        <f t="shared" si="1"/>
        <v>0</v>
      </c>
    </row>
    <row r="1291">
      <c r="A1291" s="1" t="s">
        <v>645</v>
      </c>
      <c r="B1291" s="3">
        <v>28.0</v>
      </c>
      <c r="C1291" s="3">
        <v>60.0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2" t="str">
        <f>IFERROR(__xludf.DUMMYFUNCTION("INDEX(SPLIT(A1291, ""/""), 0, 2)"),"regex")</f>
        <v>regex</v>
      </c>
      <c r="J1291" s="2" t="b">
        <f t="shared" si="1"/>
        <v>0</v>
      </c>
    </row>
    <row r="1292">
      <c r="A1292" s="1" t="s">
        <v>646</v>
      </c>
      <c r="B1292" s="3">
        <v>124.0</v>
      </c>
      <c r="C1292" s="3">
        <v>60.0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2" t="str">
        <f>IFERROR(__xludf.DUMMYFUNCTION("INDEX(SPLIT(A1292, ""/""), 0, 2)"),"regex")</f>
        <v>regex</v>
      </c>
      <c r="J1292" s="2" t="b">
        <f t="shared" si="1"/>
        <v>0</v>
      </c>
    </row>
    <row r="1293">
      <c r="A1293" s="1" t="s">
        <v>647</v>
      </c>
      <c r="B1293" s="3">
        <v>52.0</v>
      </c>
      <c r="C1293" s="3">
        <v>60.0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2" t="str">
        <f>IFERROR(__xludf.DUMMYFUNCTION("INDEX(SPLIT(A1293, ""/""), 0, 2)"),"regex")</f>
        <v>regex</v>
      </c>
      <c r="J1293" s="2" t="b">
        <f t="shared" si="1"/>
        <v>0</v>
      </c>
    </row>
    <row r="1294">
      <c r="A1294" s="1" t="s">
        <v>648</v>
      </c>
      <c r="B1294" s="3">
        <v>179.0</v>
      </c>
      <c r="C1294" s="3">
        <v>60.0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2" t="str">
        <f>IFERROR(__xludf.DUMMYFUNCTION("INDEX(SPLIT(A1294, ""/""), 0, 2)"),"regex")</f>
        <v>regex</v>
      </c>
      <c r="J1294" s="2" t="b">
        <f t="shared" si="1"/>
        <v>0</v>
      </c>
    </row>
    <row r="1295">
      <c r="A1295" s="1" t="s">
        <v>649</v>
      </c>
      <c r="B1295" s="3">
        <v>30.0</v>
      </c>
      <c r="C1295" s="3">
        <v>60.0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2" t="str">
        <f>IFERROR(__xludf.DUMMYFUNCTION("INDEX(SPLIT(A1295, ""/""), 0, 2)"),"regex")</f>
        <v>regex</v>
      </c>
      <c r="J1295" s="2" t="b">
        <f t="shared" si="1"/>
        <v>0</v>
      </c>
    </row>
    <row r="1296">
      <c r="A1296" s="1" t="s">
        <v>650</v>
      </c>
      <c r="B1296" s="3">
        <v>33.0</v>
      </c>
      <c r="C1296" s="3">
        <v>60.0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2" t="str">
        <f>IFERROR(__xludf.DUMMYFUNCTION("INDEX(SPLIT(A1296, ""/""), 0, 2)"),"regex")</f>
        <v>regex</v>
      </c>
      <c r="J1296" s="2" t="b">
        <f t="shared" si="1"/>
        <v>0</v>
      </c>
    </row>
    <row r="1297">
      <c r="A1297" s="1" t="s">
        <v>651</v>
      </c>
      <c r="B1297" s="3">
        <v>7.0</v>
      </c>
      <c r="C1297" s="3">
        <v>60.0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2" t="str">
        <f>IFERROR(__xludf.DUMMYFUNCTION("INDEX(SPLIT(A1297, ""/""), 0, 2)"),"regex")</f>
        <v>regex</v>
      </c>
      <c r="J1297" s="2" t="b">
        <f t="shared" si="1"/>
        <v>0</v>
      </c>
    </row>
    <row r="1298">
      <c r="A1298" s="1" t="s">
        <v>652</v>
      </c>
      <c r="B1298" s="3">
        <v>62.0</v>
      </c>
      <c r="C1298" s="3">
        <v>60.0</v>
      </c>
      <c r="D1298" s="3">
        <v>0.0</v>
      </c>
      <c r="E1298" s="3">
        <v>0.0</v>
      </c>
      <c r="F1298" s="3">
        <v>0.0</v>
      </c>
      <c r="G1298" s="3">
        <v>0.0</v>
      </c>
      <c r="H1298" s="3">
        <v>0.0</v>
      </c>
      <c r="I1298" s="2" t="str">
        <f>IFERROR(__xludf.DUMMYFUNCTION("INDEX(SPLIT(A1298, ""/""), 0, 2)"),"regex")</f>
        <v>regex</v>
      </c>
      <c r="J1298" s="2" t="b">
        <f t="shared" si="1"/>
        <v>0</v>
      </c>
    </row>
    <row r="1299">
      <c r="A1299" s="1" t="s">
        <v>653</v>
      </c>
      <c r="B1299" s="3">
        <v>71.0</v>
      </c>
      <c r="C1299" s="3">
        <v>60.0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2" t="str">
        <f>IFERROR(__xludf.DUMMYFUNCTION("INDEX(SPLIT(A1299, ""/""), 0, 2)"),"regex")</f>
        <v>regex</v>
      </c>
      <c r="J1299" s="2" t="b">
        <f t="shared" si="1"/>
        <v>0</v>
      </c>
    </row>
    <row r="1300">
      <c r="A1300" s="1" t="s">
        <v>654</v>
      </c>
      <c r="B1300" s="3">
        <v>119.0</v>
      </c>
      <c r="C1300" s="3">
        <v>60.0</v>
      </c>
      <c r="D1300" s="3">
        <v>0.0</v>
      </c>
      <c r="E1300" s="3">
        <v>0.0</v>
      </c>
      <c r="F1300" s="3">
        <v>0.0</v>
      </c>
      <c r="G1300" s="3">
        <v>0.0</v>
      </c>
      <c r="H1300" s="3">
        <v>0.0</v>
      </c>
      <c r="I1300" s="2" t="str">
        <f>IFERROR(__xludf.DUMMYFUNCTION("INDEX(SPLIT(A1300, ""/""), 0, 2)"),"regex")</f>
        <v>regex</v>
      </c>
      <c r="J1300" s="2" t="b">
        <f t="shared" si="1"/>
        <v>0</v>
      </c>
    </row>
    <row r="1301">
      <c r="A1301" s="1" t="s">
        <v>655</v>
      </c>
      <c r="B1301" s="3">
        <v>1008.0</v>
      </c>
      <c r="C1301" s="3">
        <v>60.0</v>
      </c>
      <c r="D1301" s="3">
        <v>25.0</v>
      </c>
      <c r="E1301" s="3">
        <v>0.0</v>
      </c>
      <c r="F1301" s="3">
        <v>0.0</v>
      </c>
      <c r="G1301" s="3">
        <v>2.0</v>
      </c>
      <c r="H1301" s="3">
        <v>0.0</v>
      </c>
      <c r="I1301" s="2" t="str">
        <f>IFERROR(__xludf.DUMMYFUNCTION("INDEX(SPLIT(A1301, ""/""), 0, 2)"),"regex")</f>
        <v>regex</v>
      </c>
      <c r="J1301" s="2" t="b">
        <f t="shared" si="1"/>
        <v>1</v>
      </c>
    </row>
    <row r="1302">
      <c r="A1302" s="1" t="s">
        <v>656</v>
      </c>
      <c r="B1302" s="3">
        <v>281.0</v>
      </c>
      <c r="C1302" s="3">
        <v>60.0</v>
      </c>
      <c r="D1302" s="3">
        <v>0.0</v>
      </c>
      <c r="E1302" s="3">
        <v>0.0</v>
      </c>
      <c r="F1302" s="3">
        <v>0.0</v>
      </c>
      <c r="G1302" s="3">
        <v>0.0</v>
      </c>
      <c r="H1302" s="3">
        <v>0.0</v>
      </c>
      <c r="I1302" s="2" t="str">
        <f>IFERROR(__xludf.DUMMYFUNCTION("INDEX(SPLIT(A1302, ""/""), 0, 2)"),"regex")</f>
        <v>regex</v>
      </c>
      <c r="J1302" s="2" t="b">
        <f t="shared" si="1"/>
        <v>0</v>
      </c>
    </row>
    <row r="1303">
      <c r="A1303" s="1" t="s">
        <v>657</v>
      </c>
      <c r="B1303" s="3">
        <v>23.0</v>
      </c>
      <c r="C1303" s="3">
        <v>60.0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2" t="str">
        <f>IFERROR(__xludf.DUMMYFUNCTION("INDEX(SPLIT(A1303, ""/""), 0, 2)"),"regex")</f>
        <v>regex</v>
      </c>
      <c r="J1303" s="2" t="b">
        <f t="shared" si="1"/>
        <v>0</v>
      </c>
    </row>
    <row r="1304">
      <c r="A1304" s="1" t="s">
        <v>658</v>
      </c>
      <c r="B1304" s="3">
        <v>10.0</v>
      </c>
      <c r="C1304" s="3">
        <v>60.0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2" t="str">
        <f>IFERROR(__xludf.DUMMYFUNCTION("INDEX(SPLIT(A1304, ""/""), 0, 2)"),"regex")</f>
        <v>regex</v>
      </c>
      <c r="J1304" s="2" t="b">
        <f t="shared" si="1"/>
        <v>0</v>
      </c>
    </row>
    <row r="1305">
      <c r="A1305" s="1" t="s">
        <v>659</v>
      </c>
      <c r="B1305" s="3">
        <v>18.0</v>
      </c>
      <c r="C1305" s="3">
        <v>60.0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2" t="str">
        <f>IFERROR(__xludf.DUMMYFUNCTION("INDEX(SPLIT(A1305, ""/""), 0, 2)"),"regex")</f>
        <v>regex</v>
      </c>
      <c r="J1305" s="2" t="b">
        <f t="shared" si="1"/>
        <v>0</v>
      </c>
    </row>
    <row r="1306">
      <c r="A1306" s="1" t="s">
        <v>660</v>
      </c>
      <c r="B1306" s="3">
        <v>15.0</v>
      </c>
      <c r="C1306" s="3">
        <v>60.0</v>
      </c>
      <c r="D1306" s="3">
        <v>0.0</v>
      </c>
      <c r="E1306" s="3">
        <v>0.0</v>
      </c>
      <c r="F1306" s="3">
        <v>0.0</v>
      </c>
      <c r="G1306" s="3">
        <v>0.0</v>
      </c>
      <c r="H1306" s="3">
        <v>0.0</v>
      </c>
      <c r="I1306" s="2" t="str">
        <f>IFERROR(__xludf.DUMMYFUNCTION("INDEX(SPLIT(A1306, ""/""), 0, 2)"),"regex")</f>
        <v>regex</v>
      </c>
      <c r="J1306" s="2" t="b">
        <f t="shared" si="1"/>
        <v>0</v>
      </c>
    </row>
    <row r="1307">
      <c r="A1307" s="1" t="s">
        <v>661</v>
      </c>
      <c r="B1307" s="3">
        <v>26.0</v>
      </c>
      <c r="C1307" s="3">
        <v>60.0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2" t="str">
        <f>IFERROR(__xludf.DUMMYFUNCTION("INDEX(SPLIT(A1307, ""/""), 0, 2)"),"regex")</f>
        <v>regex</v>
      </c>
      <c r="J1307" s="2" t="b">
        <f t="shared" si="1"/>
        <v>0</v>
      </c>
    </row>
    <row r="1308">
      <c r="A1308" s="1" t="s">
        <v>662</v>
      </c>
      <c r="B1308" s="3">
        <v>39.0</v>
      </c>
      <c r="C1308" s="3">
        <v>60.0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2" t="str">
        <f>IFERROR(__xludf.DUMMYFUNCTION("INDEX(SPLIT(A1308, ""/""), 0, 2)"),"regex")</f>
        <v>regex</v>
      </c>
      <c r="J1308" s="2" t="b">
        <f t="shared" si="1"/>
        <v>0</v>
      </c>
    </row>
    <row r="1309">
      <c r="A1309" s="1" t="s">
        <v>663</v>
      </c>
      <c r="B1309" s="3">
        <v>55.0</v>
      </c>
      <c r="C1309" s="3">
        <v>60.0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2" t="str">
        <f>IFERROR(__xludf.DUMMYFUNCTION("INDEX(SPLIT(A1309, ""/""), 0, 2)"),"regex")</f>
        <v>regex</v>
      </c>
      <c r="J1309" s="2" t="b">
        <f t="shared" si="1"/>
        <v>0</v>
      </c>
    </row>
    <row r="1310">
      <c r="A1310" s="1" t="s">
        <v>664</v>
      </c>
      <c r="B1310" s="3">
        <v>92.0</v>
      </c>
      <c r="C1310" s="3">
        <v>60.0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2" t="str">
        <f>IFERROR(__xludf.DUMMYFUNCTION("INDEX(SPLIT(A1310, ""/""), 0, 2)"),"regex")</f>
        <v>regex</v>
      </c>
      <c r="J1310" s="2" t="b">
        <f t="shared" si="1"/>
        <v>0</v>
      </c>
    </row>
    <row r="1311">
      <c r="A1311" s="1" t="s">
        <v>665</v>
      </c>
      <c r="B1311" s="3">
        <v>24.0</v>
      </c>
      <c r="C1311" s="3">
        <v>60.0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2" t="str">
        <f>IFERROR(__xludf.DUMMYFUNCTION("INDEX(SPLIT(A1311, ""/""), 0, 2)"),"regex")</f>
        <v>regex</v>
      </c>
      <c r="J1311" s="2" t="b">
        <f t="shared" si="1"/>
        <v>0</v>
      </c>
    </row>
    <row r="1312">
      <c r="A1312" s="1" t="s">
        <v>666</v>
      </c>
      <c r="B1312" s="3">
        <v>9.0</v>
      </c>
      <c r="C1312" s="3">
        <v>60.0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2" t="str">
        <f>IFERROR(__xludf.DUMMYFUNCTION("INDEX(SPLIT(A1312, ""/""), 0, 2)"),"regex")</f>
        <v>regex</v>
      </c>
      <c r="J1312" s="2" t="b">
        <f t="shared" si="1"/>
        <v>0</v>
      </c>
    </row>
    <row r="1313">
      <c r="A1313" s="1" t="s">
        <v>667</v>
      </c>
      <c r="B1313" s="3">
        <v>34.0</v>
      </c>
      <c r="C1313" s="3">
        <v>60.0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2" t="str">
        <f>IFERROR(__xludf.DUMMYFUNCTION("INDEX(SPLIT(A1313, ""/""), 0, 2)"),"regex")</f>
        <v>regex</v>
      </c>
      <c r="J1313" s="2" t="b">
        <f t="shared" si="1"/>
        <v>0</v>
      </c>
    </row>
    <row r="1314">
      <c r="A1314" s="1" t="s">
        <v>668</v>
      </c>
      <c r="B1314" s="3">
        <v>34.0</v>
      </c>
      <c r="C1314" s="3">
        <v>60.0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2" t="str">
        <f>IFERROR(__xludf.DUMMYFUNCTION("INDEX(SPLIT(A1314, ""/""), 0, 2)"),"regex")</f>
        <v>regex</v>
      </c>
      <c r="J1314" s="2" t="b">
        <f t="shared" si="1"/>
        <v>0</v>
      </c>
    </row>
    <row r="1315">
      <c r="A1315" s="1" t="s">
        <v>669</v>
      </c>
      <c r="B1315" s="3">
        <v>24.0</v>
      </c>
      <c r="C1315" s="3">
        <v>60.0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2" t="str">
        <f>IFERROR(__xludf.DUMMYFUNCTION("INDEX(SPLIT(A1315, ""/""), 0, 2)"),"regex")</f>
        <v>regex</v>
      </c>
      <c r="J1315" s="2" t="b">
        <f t="shared" si="1"/>
        <v>0</v>
      </c>
    </row>
    <row r="1316">
      <c r="A1316" s="1" t="s">
        <v>670</v>
      </c>
      <c r="B1316" s="3">
        <v>28.0</v>
      </c>
      <c r="C1316" s="3">
        <v>60.0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2" t="str">
        <f>IFERROR(__xludf.DUMMYFUNCTION("INDEX(SPLIT(A1316, ""/""), 0, 2)"),"regex")</f>
        <v>regex</v>
      </c>
      <c r="J1316" s="2" t="b">
        <f t="shared" si="1"/>
        <v>0</v>
      </c>
    </row>
    <row r="1317">
      <c r="A1317" s="1" t="s">
        <v>671</v>
      </c>
      <c r="B1317" s="3">
        <v>60.0</v>
      </c>
      <c r="C1317" s="3">
        <v>60.0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2" t="str">
        <f>IFERROR(__xludf.DUMMYFUNCTION("INDEX(SPLIT(A1317, ""/""), 0, 2)"),"regex")</f>
        <v>regex</v>
      </c>
      <c r="J1317" s="2" t="b">
        <f t="shared" si="1"/>
        <v>0</v>
      </c>
    </row>
    <row r="1318">
      <c r="A1318" s="1" t="s">
        <v>672</v>
      </c>
      <c r="B1318" s="3">
        <v>38.0</v>
      </c>
      <c r="C1318" s="3">
        <v>60.0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2" t="str">
        <f>IFERROR(__xludf.DUMMYFUNCTION("INDEX(SPLIT(A1318, ""/""), 0, 2)"),"regex")</f>
        <v>regex</v>
      </c>
      <c r="J1318" s="2" t="b">
        <f t="shared" si="1"/>
        <v>0</v>
      </c>
    </row>
    <row r="1319">
      <c r="A1319" s="1" t="s">
        <v>673</v>
      </c>
      <c r="B1319" s="3">
        <v>212.0</v>
      </c>
      <c r="C1319" s="3">
        <v>60.0</v>
      </c>
      <c r="D1319" s="3">
        <v>0.0</v>
      </c>
      <c r="E1319" s="3">
        <v>0.0</v>
      </c>
      <c r="F1319" s="3">
        <v>0.0</v>
      </c>
      <c r="G1319" s="3">
        <v>0.0</v>
      </c>
      <c r="H1319" s="3">
        <v>0.0</v>
      </c>
      <c r="I1319" s="2" t="str">
        <f>IFERROR(__xludf.DUMMYFUNCTION("INDEX(SPLIT(A1319, ""/""), 0, 2)"),"regex")</f>
        <v>regex</v>
      </c>
      <c r="J1319" s="2" t="b">
        <f t="shared" si="1"/>
        <v>0</v>
      </c>
    </row>
    <row r="1320">
      <c r="A1320" s="1" t="s">
        <v>674</v>
      </c>
      <c r="B1320" s="3">
        <v>2886.0</v>
      </c>
      <c r="C1320" s="3">
        <v>60.0</v>
      </c>
      <c r="D1320" s="3">
        <v>1.0</v>
      </c>
      <c r="E1320" s="3">
        <v>1.0</v>
      </c>
      <c r="F1320" s="3">
        <v>1.0</v>
      </c>
      <c r="G1320" s="3">
        <v>1.0</v>
      </c>
      <c r="H1320" s="3">
        <v>1.0</v>
      </c>
      <c r="I1320" s="2" t="str">
        <f>IFERROR(__xludf.DUMMYFUNCTION("INDEX(SPLIT(A1320, ""/""), 0, 2)"),"regex")</f>
        <v>regex</v>
      </c>
      <c r="J1320" s="2" t="b">
        <f t="shared" si="1"/>
        <v>0</v>
      </c>
    </row>
    <row r="1321">
      <c r="A1321" s="1" t="s">
        <v>675</v>
      </c>
      <c r="B1321" s="3">
        <v>69.0</v>
      </c>
      <c r="C1321" s="3">
        <v>60.0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2" t="str">
        <f>IFERROR(__xludf.DUMMYFUNCTION("INDEX(SPLIT(A1321, ""/""), 0, 2)"),"regex")</f>
        <v>regex</v>
      </c>
      <c r="J1321" s="2" t="b">
        <f t="shared" si="1"/>
        <v>0</v>
      </c>
    </row>
    <row r="1322">
      <c r="A1322" s="1" t="s">
        <v>676</v>
      </c>
      <c r="B1322" s="3">
        <v>10.0</v>
      </c>
      <c r="C1322" s="3">
        <v>60.0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2" t="str">
        <f>IFERROR(__xludf.DUMMYFUNCTION("INDEX(SPLIT(A1322, ""/""), 0, 2)"),"regex")</f>
        <v>regex</v>
      </c>
      <c r="J1322" s="2" t="b">
        <f t="shared" si="1"/>
        <v>0</v>
      </c>
    </row>
    <row r="1323">
      <c r="A1323" s="1" t="s">
        <v>677</v>
      </c>
      <c r="B1323" s="3">
        <v>11.0</v>
      </c>
      <c r="C1323" s="3">
        <v>60.0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2" t="str">
        <f>IFERROR(__xludf.DUMMYFUNCTION("INDEX(SPLIT(A1323, ""/""), 0, 2)"),"regex")</f>
        <v>regex</v>
      </c>
      <c r="J1323" s="2" t="b">
        <f t="shared" si="1"/>
        <v>0</v>
      </c>
    </row>
    <row r="1324">
      <c r="A1324" s="1" t="s">
        <v>678</v>
      </c>
      <c r="B1324" s="3">
        <v>190.0</v>
      </c>
      <c r="C1324" s="3">
        <v>60.0</v>
      </c>
      <c r="D1324" s="3">
        <v>1.0</v>
      </c>
      <c r="E1324" s="3">
        <v>0.0</v>
      </c>
      <c r="F1324" s="3">
        <v>0.0</v>
      </c>
      <c r="G1324" s="3">
        <v>0.0</v>
      </c>
      <c r="H1324" s="3">
        <v>0.0</v>
      </c>
      <c r="I1324" s="2" t="str">
        <f>IFERROR(__xludf.DUMMYFUNCTION("INDEX(SPLIT(A1324, ""/""), 0, 2)"),"regex")</f>
        <v>regex</v>
      </c>
      <c r="J1324" s="2" t="b">
        <f t="shared" si="1"/>
        <v>0</v>
      </c>
    </row>
    <row r="1325">
      <c r="A1325" s="1" t="s">
        <v>679</v>
      </c>
      <c r="B1325" s="3">
        <v>2.0</v>
      </c>
      <c r="C1325" s="3">
        <v>60.0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2" t="str">
        <f>IFERROR(__xludf.DUMMYFUNCTION("INDEX(SPLIT(A1325, ""/""), 0, 2)"),"regex")</f>
        <v>regex</v>
      </c>
      <c r="J1325" s="2" t="b">
        <f t="shared" si="1"/>
        <v>0</v>
      </c>
    </row>
    <row r="1326">
      <c r="A1326" s="1" t="s">
        <v>680</v>
      </c>
      <c r="B1326" s="3">
        <v>101.0</v>
      </c>
      <c r="C1326" s="3">
        <v>60.0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2" t="str">
        <f>IFERROR(__xludf.DUMMYFUNCTION("INDEX(SPLIT(A1326, ""/""), 0, 2)"),"regex")</f>
        <v>regex</v>
      </c>
      <c r="J1326" s="2" t="b">
        <f t="shared" si="1"/>
        <v>0</v>
      </c>
    </row>
    <row r="1327">
      <c r="A1327" s="1" t="s">
        <v>681</v>
      </c>
      <c r="B1327" s="3">
        <v>34.0</v>
      </c>
      <c r="C1327" s="3">
        <v>60.0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2" t="str">
        <f>IFERROR(__xludf.DUMMYFUNCTION("INDEX(SPLIT(A1327, ""/""), 0, 2)"),"regex")</f>
        <v>regex</v>
      </c>
      <c r="J1327" s="2" t="b">
        <f t="shared" si="1"/>
        <v>0</v>
      </c>
    </row>
    <row r="1328">
      <c r="A1328" s="1" t="s">
        <v>682</v>
      </c>
      <c r="B1328" s="3">
        <v>110.0</v>
      </c>
      <c r="C1328" s="3">
        <v>60.0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2" t="str">
        <f>IFERROR(__xludf.DUMMYFUNCTION("INDEX(SPLIT(A1328, ""/""), 0, 2)"),"regex")</f>
        <v>regex</v>
      </c>
      <c r="J1328" s="2" t="b">
        <f t="shared" si="1"/>
        <v>0</v>
      </c>
    </row>
    <row r="1329">
      <c r="A1329" s="1" t="s">
        <v>683</v>
      </c>
      <c r="B1329" s="3">
        <v>18.0</v>
      </c>
      <c r="C1329" s="3">
        <v>60.0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2" t="str">
        <f>IFERROR(__xludf.DUMMYFUNCTION("INDEX(SPLIT(A1329, ""/""), 0, 2)"),"regex")</f>
        <v>regex</v>
      </c>
      <c r="J1329" s="2" t="b">
        <f t="shared" si="1"/>
        <v>0</v>
      </c>
    </row>
    <row r="1330">
      <c r="A1330" s="1" t="s">
        <v>684</v>
      </c>
      <c r="B1330" s="3">
        <v>10.0</v>
      </c>
      <c r="C1330" s="3">
        <v>60.0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2" t="str">
        <f>IFERROR(__xludf.DUMMYFUNCTION("INDEX(SPLIT(A1330, ""/""), 0, 2)"),"regex")</f>
        <v>regex</v>
      </c>
      <c r="J1330" s="2" t="b">
        <f t="shared" si="1"/>
        <v>0</v>
      </c>
    </row>
    <row r="1331">
      <c r="A1331" s="1" t="s">
        <v>685</v>
      </c>
      <c r="B1331" s="3">
        <v>36.0</v>
      </c>
      <c r="C1331" s="3">
        <v>60.0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2" t="str">
        <f>IFERROR(__xludf.DUMMYFUNCTION("INDEX(SPLIT(A1331, ""/""), 0, 2)"),"regex")</f>
        <v>regex</v>
      </c>
      <c r="J1331" s="2" t="b">
        <f t="shared" si="1"/>
        <v>0</v>
      </c>
    </row>
    <row r="1332">
      <c r="A1332" s="1" t="s">
        <v>686</v>
      </c>
      <c r="B1332" s="3">
        <v>29.0</v>
      </c>
      <c r="C1332" s="3">
        <v>60.0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2" t="str">
        <f>IFERROR(__xludf.DUMMYFUNCTION("INDEX(SPLIT(A1332, ""/""), 0, 2)"),"regex")</f>
        <v>regex</v>
      </c>
      <c r="J1332" s="2" t="b">
        <f t="shared" si="1"/>
        <v>0</v>
      </c>
    </row>
    <row r="1333">
      <c r="A1333" s="1" t="s">
        <v>687</v>
      </c>
      <c r="B1333" s="3">
        <v>9.0</v>
      </c>
      <c r="C1333" s="3">
        <v>60.0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2" t="str">
        <f>IFERROR(__xludf.DUMMYFUNCTION("INDEX(SPLIT(A1333, ""/""), 0, 2)"),"regex")</f>
        <v>regex</v>
      </c>
      <c r="J1333" s="2" t="b">
        <f t="shared" si="1"/>
        <v>0</v>
      </c>
    </row>
    <row r="1334">
      <c r="A1334" s="1" t="s">
        <v>688</v>
      </c>
      <c r="B1334" s="3">
        <v>14.0</v>
      </c>
      <c r="C1334" s="3">
        <v>60.0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2" t="str">
        <f>IFERROR(__xludf.DUMMYFUNCTION("INDEX(SPLIT(A1334, ""/""), 0, 2)"),"regex")</f>
        <v>regex</v>
      </c>
      <c r="J1334" s="2" t="b">
        <f t="shared" si="1"/>
        <v>0</v>
      </c>
    </row>
    <row r="1335">
      <c r="A1335" s="1" t="s">
        <v>689</v>
      </c>
      <c r="B1335" s="3">
        <v>157.0</v>
      </c>
      <c r="C1335" s="3">
        <v>60.0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2" t="str">
        <f>IFERROR(__xludf.DUMMYFUNCTION("INDEX(SPLIT(A1335, ""/""), 0, 2)"),"regex")</f>
        <v>regex</v>
      </c>
      <c r="J1335" s="2" t="b">
        <f t="shared" si="1"/>
        <v>0</v>
      </c>
    </row>
    <row r="1336">
      <c r="A1336" s="1" t="s">
        <v>690</v>
      </c>
      <c r="B1336" s="3">
        <v>23.0</v>
      </c>
      <c r="C1336" s="3">
        <v>60.0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2" t="str">
        <f>IFERROR(__xludf.DUMMYFUNCTION("INDEX(SPLIT(A1336, ""/""), 0, 2)"),"regex")</f>
        <v>regex</v>
      </c>
      <c r="J1336" s="2" t="b">
        <f t="shared" si="1"/>
        <v>0</v>
      </c>
    </row>
    <row r="1337">
      <c r="A1337" s="1" t="s">
        <v>691</v>
      </c>
      <c r="B1337" s="3">
        <v>10.0</v>
      </c>
      <c r="C1337" s="3">
        <v>60.0</v>
      </c>
      <c r="D1337" s="3">
        <v>0.0</v>
      </c>
      <c r="E1337" s="3">
        <v>0.0</v>
      </c>
      <c r="F1337" s="3">
        <v>0.0</v>
      </c>
      <c r="G1337" s="3">
        <v>0.0</v>
      </c>
      <c r="H1337" s="3">
        <v>0.0</v>
      </c>
      <c r="I1337" s="2" t="str">
        <f>IFERROR(__xludf.DUMMYFUNCTION("INDEX(SPLIT(A1337, ""/""), 0, 2)"),"regex")</f>
        <v>regex</v>
      </c>
      <c r="J1337" s="2" t="b">
        <f t="shared" si="1"/>
        <v>0</v>
      </c>
    </row>
    <row r="1338">
      <c r="A1338" s="1" t="s">
        <v>692</v>
      </c>
      <c r="B1338" s="3">
        <v>58.0</v>
      </c>
      <c r="C1338" s="3">
        <v>60.0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2" t="str">
        <f>IFERROR(__xludf.DUMMYFUNCTION("INDEX(SPLIT(A1338, ""/""), 0, 2)"),"regex")</f>
        <v>regex</v>
      </c>
      <c r="J1338" s="2" t="b">
        <f t="shared" si="1"/>
        <v>0</v>
      </c>
    </row>
    <row r="1339">
      <c r="A1339" s="1" t="s">
        <v>693</v>
      </c>
      <c r="B1339" s="3">
        <v>39.0</v>
      </c>
      <c r="C1339" s="3">
        <v>60.0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2" t="str">
        <f>IFERROR(__xludf.DUMMYFUNCTION("INDEX(SPLIT(A1339, ""/""), 0, 2)"),"regex")</f>
        <v>regex</v>
      </c>
      <c r="J1339" s="2" t="b">
        <f t="shared" si="1"/>
        <v>0</v>
      </c>
    </row>
    <row r="1340">
      <c r="A1340" s="1" t="s">
        <v>694</v>
      </c>
      <c r="B1340" s="3">
        <v>215.0</v>
      </c>
      <c r="C1340" s="3">
        <v>60.0</v>
      </c>
      <c r="D1340" s="3">
        <v>1.0</v>
      </c>
      <c r="E1340" s="3">
        <v>0.0</v>
      </c>
      <c r="F1340" s="3">
        <v>0.0</v>
      </c>
      <c r="G1340" s="3">
        <v>0.0</v>
      </c>
      <c r="H1340" s="3">
        <v>0.0</v>
      </c>
      <c r="I1340" s="2" t="str">
        <f>IFERROR(__xludf.DUMMYFUNCTION("INDEX(SPLIT(A1340, ""/""), 0, 2)"),"regex")</f>
        <v>regex</v>
      </c>
      <c r="J1340" s="2" t="b">
        <f t="shared" si="1"/>
        <v>0</v>
      </c>
    </row>
    <row r="1341">
      <c r="A1341" s="1" t="s">
        <v>695</v>
      </c>
      <c r="B1341" s="3">
        <v>32.0</v>
      </c>
      <c r="C1341" s="3">
        <v>60.0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2" t="str">
        <f>IFERROR(__xludf.DUMMYFUNCTION("INDEX(SPLIT(A1341, ""/""), 0, 2)"),"regex")</f>
        <v>regex</v>
      </c>
      <c r="J1341" s="2" t="b">
        <f t="shared" si="1"/>
        <v>0</v>
      </c>
    </row>
    <row r="1342">
      <c r="A1342" s="1" t="s">
        <v>696</v>
      </c>
      <c r="B1342" s="3">
        <v>16.0</v>
      </c>
      <c r="C1342" s="3">
        <v>60.0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2" t="str">
        <f>IFERROR(__xludf.DUMMYFUNCTION("INDEX(SPLIT(A1342, ""/""), 0, 2)"),"regex")</f>
        <v>regex</v>
      </c>
      <c r="J1342" s="2" t="b">
        <f t="shared" si="1"/>
        <v>0</v>
      </c>
    </row>
    <row r="1343">
      <c r="A1343" s="1" t="s">
        <v>697</v>
      </c>
      <c r="B1343" s="3">
        <v>49.0</v>
      </c>
      <c r="C1343" s="3">
        <v>60.0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2" t="str">
        <f>IFERROR(__xludf.DUMMYFUNCTION("INDEX(SPLIT(A1343, ""/""), 0, 2)"),"regex")</f>
        <v>regex</v>
      </c>
      <c r="J1343" s="2" t="b">
        <f t="shared" si="1"/>
        <v>0</v>
      </c>
    </row>
    <row r="1344">
      <c r="A1344" s="1" t="s">
        <v>698</v>
      </c>
      <c r="B1344" s="3">
        <v>33.0</v>
      </c>
      <c r="C1344" s="3">
        <v>60.0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2" t="str">
        <f>IFERROR(__xludf.DUMMYFUNCTION("INDEX(SPLIT(A1344, ""/""), 0, 2)"),"regex")</f>
        <v>regex</v>
      </c>
      <c r="J1344" s="2" t="b">
        <f t="shared" si="1"/>
        <v>0</v>
      </c>
    </row>
    <row r="1345">
      <c r="A1345" s="1" t="s">
        <v>699</v>
      </c>
      <c r="B1345" s="3">
        <v>130.0</v>
      </c>
      <c r="C1345" s="3">
        <v>60.0</v>
      </c>
      <c r="D1345" s="3">
        <v>0.0</v>
      </c>
      <c r="E1345" s="3">
        <v>0.0</v>
      </c>
      <c r="F1345" s="3">
        <v>0.0</v>
      </c>
      <c r="G1345" s="3">
        <v>0.0</v>
      </c>
      <c r="H1345" s="3">
        <v>0.0</v>
      </c>
      <c r="I1345" s="2" t="str">
        <f>IFERROR(__xludf.DUMMYFUNCTION("INDEX(SPLIT(A1345, ""/""), 0, 2)"),"regex")</f>
        <v>regex</v>
      </c>
      <c r="J1345" s="2" t="b">
        <f t="shared" si="1"/>
        <v>0</v>
      </c>
    </row>
    <row r="1346">
      <c r="A1346" s="1" t="s">
        <v>700</v>
      </c>
      <c r="B1346" s="3">
        <v>114.0</v>
      </c>
      <c r="C1346" s="3">
        <v>60.0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2" t="str">
        <f>IFERROR(__xludf.DUMMYFUNCTION("INDEX(SPLIT(A1346, ""/""), 0, 2)"),"regex")</f>
        <v>regex</v>
      </c>
      <c r="J1346" s="2" t="b">
        <f t="shared" si="1"/>
        <v>0</v>
      </c>
    </row>
    <row r="1347">
      <c r="A1347" s="1" t="s">
        <v>701</v>
      </c>
      <c r="B1347" s="3">
        <v>54.0</v>
      </c>
      <c r="C1347" s="3">
        <v>60.0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2" t="str">
        <f>IFERROR(__xludf.DUMMYFUNCTION("INDEX(SPLIT(A1347, ""/""), 0, 2)"),"regex")</f>
        <v>regex</v>
      </c>
      <c r="J1347" s="2" t="b">
        <f t="shared" si="1"/>
        <v>0</v>
      </c>
    </row>
    <row r="1348">
      <c r="A1348" s="1" t="s">
        <v>702</v>
      </c>
      <c r="B1348" s="3">
        <v>34.0</v>
      </c>
      <c r="C1348" s="3">
        <v>60.0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2" t="str">
        <f>IFERROR(__xludf.DUMMYFUNCTION("INDEX(SPLIT(A1348, ""/""), 0, 2)"),"regex")</f>
        <v>regex</v>
      </c>
      <c r="J1348" s="2" t="b">
        <f t="shared" si="1"/>
        <v>0</v>
      </c>
    </row>
    <row r="1349">
      <c r="A1349" s="1" t="s">
        <v>703</v>
      </c>
      <c r="B1349" s="3">
        <v>135.0</v>
      </c>
      <c r="C1349" s="3">
        <v>60.0</v>
      </c>
      <c r="D1349" s="3">
        <v>0.0</v>
      </c>
      <c r="E1349" s="3">
        <v>0.0</v>
      </c>
      <c r="F1349" s="3">
        <v>0.0</v>
      </c>
      <c r="G1349" s="3">
        <v>0.0</v>
      </c>
      <c r="H1349" s="3">
        <v>0.0</v>
      </c>
      <c r="I1349" s="2" t="str">
        <f>IFERROR(__xludf.DUMMYFUNCTION("INDEX(SPLIT(A1349, ""/""), 0, 2)"),"regex")</f>
        <v>regex</v>
      </c>
      <c r="J1349" s="2" t="b">
        <f t="shared" si="1"/>
        <v>0</v>
      </c>
    </row>
    <row r="1350">
      <c r="A1350" s="1" t="s">
        <v>704</v>
      </c>
      <c r="B1350" s="3">
        <v>86.0</v>
      </c>
      <c r="C1350" s="3">
        <v>60.0</v>
      </c>
      <c r="D1350" s="3">
        <v>0.0</v>
      </c>
      <c r="E1350" s="3">
        <v>0.0</v>
      </c>
      <c r="F1350" s="3">
        <v>0.0</v>
      </c>
      <c r="G1350" s="3">
        <v>0.0</v>
      </c>
      <c r="H1350" s="3">
        <v>0.0</v>
      </c>
      <c r="I1350" s="2" t="str">
        <f>IFERROR(__xludf.DUMMYFUNCTION("INDEX(SPLIT(A1350, ""/""), 0, 2)"),"regex")</f>
        <v>regex</v>
      </c>
      <c r="J1350" s="2" t="b">
        <f t="shared" si="1"/>
        <v>0</v>
      </c>
    </row>
    <row r="1351">
      <c r="A1351" s="1" t="s">
        <v>705</v>
      </c>
      <c r="B1351" s="3">
        <v>385.0</v>
      </c>
      <c r="C1351" s="3">
        <v>60.0</v>
      </c>
      <c r="D1351" s="3">
        <v>4.0</v>
      </c>
      <c r="E1351" s="3">
        <v>0.0</v>
      </c>
      <c r="F1351" s="3">
        <v>0.0</v>
      </c>
      <c r="G1351" s="3">
        <v>0.0</v>
      </c>
      <c r="H1351" s="3">
        <v>0.0</v>
      </c>
      <c r="I1351" s="2" t="str">
        <f>IFERROR(__xludf.DUMMYFUNCTION("INDEX(SPLIT(A1351, ""/""), 0, 2)"),"regex")</f>
        <v>regex</v>
      </c>
      <c r="J1351" s="2" t="b">
        <f t="shared" si="1"/>
        <v>0</v>
      </c>
    </row>
    <row r="1352">
      <c r="A1352" s="1" t="s">
        <v>706</v>
      </c>
      <c r="B1352" s="3">
        <v>90.0</v>
      </c>
      <c r="C1352" s="3">
        <v>60.0</v>
      </c>
      <c r="D1352" s="3">
        <v>0.0</v>
      </c>
      <c r="E1352" s="3">
        <v>0.0</v>
      </c>
      <c r="F1352" s="3">
        <v>0.0</v>
      </c>
      <c r="G1352" s="3">
        <v>0.0</v>
      </c>
      <c r="H1352" s="3">
        <v>0.0</v>
      </c>
      <c r="I1352" s="2" t="str">
        <f>IFERROR(__xludf.DUMMYFUNCTION("INDEX(SPLIT(A1352, ""/""), 0, 2)"),"regex")</f>
        <v>regex</v>
      </c>
      <c r="J1352" s="2" t="b">
        <f t="shared" si="1"/>
        <v>0</v>
      </c>
    </row>
    <row r="1353">
      <c r="A1353" s="1" t="s">
        <v>707</v>
      </c>
      <c r="B1353" s="3">
        <v>20.0</v>
      </c>
      <c r="C1353" s="3">
        <v>60.0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2" t="str">
        <f>IFERROR(__xludf.DUMMYFUNCTION("INDEX(SPLIT(A1353, ""/""), 0, 2)"),"regex")</f>
        <v>regex</v>
      </c>
      <c r="J1353" s="2" t="b">
        <f t="shared" si="1"/>
        <v>0</v>
      </c>
    </row>
    <row r="1354">
      <c r="A1354" s="1" t="s">
        <v>708</v>
      </c>
      <c r="B1354" s="3">
        <v>32.0</v>
      </c>
      <c r="C1354" s="3">
        <v>60.0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2" t="str">
        <f>IFERROR(__xludf.DUMMYFUNCTION("INDEX(SPLIT(A1354, ""/""), 0, 2)"),"regex")</f>
        <v>regex</v>
      </c>
      <c r="J1354" s="2" t="b">
        <f t="shared" si="1"/>
        <v>0</v>
      </c>
    </row>
    <row r="1355">
      <c r="A1355" s="1" t="s">
        <v>709</v>
      </c>
      <c r="B1355" s="3">
        <v>54.0</v>
      </c>
      <c r="C1355" s="3">
        <v>60.0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2" t="str">
        <f>IFERROR(__xludf.DUMMYFUNCTION("INDEX(SPLIT(A1355, ""/""), 0, 2)"),"regex")</f>
        <v>regex</v>
      </c>
      <c r="J1355" s="2" t="b">
        <f t="shared" si="1"/>
        <v>0</v>
      </c>
    </row>
    <row r="1356">
      <c r="A1356" s="1" t="s">
        <v>710</v>
      </c>
      <c r="B1356" s="3">
        <v>29.0</v>
      </c>
      <c r="C1356" s="3">
        <v>60.0</v>
      </c>
      <c r="D1356" s="3">
        <v>0.0</v>
      </c>
      <c r="E1356" s="3">
        <v>0.0</v>
      </c>
      <c r="F1356" s="3">
        <v>0.0</v>
      </c>
      <c r="G1356" s="3">
        <v>0.0</v>
      </c>
      <c r="H1356" s="3">
        <v>0.0</v>
      </c>
      <c r="I1356" s="2" t="str">
        <f>IFERROR(__xludf.DUMMYFUNCTION("INDEX(SPLIT(A1356, ""/""), 0, 2)"),"regex")</f>
        <v>regex</v>
      </c>
      <c r="J1356" s="2" t="b">
        <f t="shared" si="1"/>
        <v>0</v>
      </c>
    </row>
    <row r="1357">
      <c r="A1357" s="1" t="s">
        <v>711</v>
      </c>
      <c r="B1357" s="3">
        <v>19.0</v>
      </c>
      <c r="C1357" s="3">
        <v>60.0</v>
      </c>
      <c r="D1357" s="3">
        <v>0.0</v>
      </c>
      <c r="E1357" s="3">
        <v>0.0</v>
      </c>
      <c r="F1357" s="3">
        <v>0.0</v>
      </c>
      <c r="G1357" s="3">
        <v>0.0</v>
      </c>
      <c r="H1357" s="3">
        <v>0.0</v>
      </c>
      <c r="I1357" s="2" t="str">
        <f>IFERROR(__xludf.DUMMYFUNCTION("INDEX(SPLIT(A1357, ""/""), 0, 2)"),"regex")</f>
        <v>regex</v>
      </c>
      <c r="J1357" s="2" t="b">
        <f t="shared" si="1"/>
        <v>0</v>
      </c>
    </row>
    <row r="1358">
      <c r="A1358" s="1" t="s">
        <v>712</v>
      </c>
      <c r="B1358" s="3">
        <v>131.0</v>
      </c>
      <c r="C1358" s="3">
        <v>60.0</v>
      </c>
      <c r="D1358" s="3">
        <v>0.0</v>
      </c>
      <c r="E1358" s="3">
        <v>0.0</v>
      </c>
      <c r="F1358" s="3">
        <v>0.0</v>
      </c>
      <c r="G1358" s="3">
        <v>0.0</v>
      </c>
      <c r="H1358" s="3">
        <v>0.0</v>
      </c>
      <c r="I1358" s="2" t="str">
        <f>IFERROR(__xludf.DUMMYFUNCTION("INDEX(SPLIT(A1358, ""/""), 0, 2)"),"regex")</f>
        <v>regex</v>
      </c>
      <c r="J1358" s="2" t="b">
        <f t="shared" si="1"/>
        <v>0</v>
      </c>
    </row>
    <row r="1359">
      <c r="A1359" s="1" t="s">
        <v>713</v>
      </c>
      <c r="B1359" s="3">
        <v>28.0</v>
      </c>
      <c r="C1359" s="3">
        <v>60.0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2" t="str">
        <f>IFERROR(__xludf.DUMMYFUNCTION("INDEX(SPLIT(A1359, ""/""), 0, 2)"),"regex")</f>
        <v>regex</v>
      </c>
      <c r="J1359" s="2" t="b">
        <f t="shared" si="1"/>
        <v>0</v>
      </c>
    </row>
    <row r="1360">
      <c r="A1360" s="1" t="s">
        <v>714</v>
      </c>
      <c r="B1360" s="3">
        <v>7.0</v>
      </c>
      <c r="C1360" s="3">
        <v>60.0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2" t="str">
        <f>IFERROR(__xludf.DUMMYFUNCTION("INDEX(SPLIT(A1360, ""/""), 0, 2)"),"regex")</f>
        <v>regex</v>
      </c>
      <c r="J1360" s="2" t="b">
        <f t="shared" si="1"/>
        <v>0</v>
      </c>
    </row>
    <row r="1361">
      <c r="A1361" s="1" t="s">
        <v>715</v>
      </c>
      <c r="B1361" s="3">
        <v>16.0</v>
      </c>
      <c r="C1361" s="3">
        <v>60.0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2" t="str">
        <f>IFERROR(__xludf.DUMMYFUNCTION("INDEX(SPLIT(A1361, ""/""), 0, 2)"),"regex")</f>
        <v>regex</v>
      </c>
      <c r="J1361" s="2" t="b">
        <f t="shared" si="1"/>
        <v>0</v>
      </c>
    </row>
    <row r="1362">
      <c r="A1362" s="1" t="s">
        <v>716</v>
      </c>
      <c r="B1362" s="3">
        <v>6.0</v>
      </c>
      <c r="C1362" s="3">
        <v>60.0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2" t="str">
        <f>IFERROR(__xludf.DUMMYFUNCTION("INDEX(SPLIT(A1362, ""/""), 0, 2)"),"regex")</f>
        <v>regex</v>
      </c>
      <c r="J1362" s="2" t="b">
        <f t="shared" si="1"/>
        <v>0</v>
      </c>
    </row>
    <row r="1363">
      <c r="A1363" s="1" t="s">
        <v>717</v>
      </c>
      <c r="B1363" s="3">
        <v>94.0</v>
      </c>
      <c r="C1363" s="3">
        <v>60.0</v>
      </c>
      <c r="D1363" s="3">
        <v>0.0</v>
      </c>
      <c r="E1363" s="3">
        <v>0.0</v>
      </c>
      <c r="F1363" s="3">
        <v>0.0</v>
      </c>
      <c r="G1363" s="3">
        <v>0.0</v>
      </c>
      <c r="H1363" s="3">
        <v>0.0</v>
      </c>
      <c r="I1363" s="2" t="str">
        <f>IFERROR(__xludf.DUMMYFUNCTION("INDEX(SPLIT(A1363, ""/""), 0, 2)"),"regex")</f>
        <v>regex</v>
      </c>
      <c r="J1363" s="2" t="b">
        <f t="shared" si="1"/>
        <v>0</v>
      </c>
    </row>
    <row r="1364">
      <c r="A1364" s="1" t="s">
        <v>718</v>
      </c>
      <c r="B1364" s="3">
        <v>14.0</v>
      </c>
      <c r="C1364" s="3">
        <v>60.0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2" t="str">
        <f>IFERROR(__xludf.DUMMYFUNCTION("INDEX(SPLIT(A1364, ""/""), 0, 2)"),"regex")</f>
        <v>regex</v>
      </c>
      <c r="J1364" s="2" t="b">
        <f t="shared" si="1"/>
        <v>0</v>
      </c>
    </row>
    <row r="1365">
      <c r="A1365" s="1" t="s">
        <v>719</v>
      </c>
      <c r="B1365" s="3">
        <v>146.0</v>
      </c>
      <c r="C1365" s="3">
        <v>60.0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2" t="str">
        <f>IFERROR(__xludf.DUMMYFUNCTION("INDEX(SPLIT(A1365, ""/""), 0, 2)"),"regex")</f>
        <v>regex</v>
      </c>
      <c r="J1365" s="2" t="b">
        <f t="shared" si="1"/>
        <v>0</v>
      </c>
    </row>
    <row r="1366">
      <c r="A1366" s="1" t="s">
        <v>720</v>
      </c>
      <c r="B1366" s="3">
        <v>91.0</v>
      </c>
      <c r="C1366" s="3">
        <v>60.0</v>
      </c>
      <c r="D1366" s="3">
        <v>0.0</v>
      </c>
      <c r="E1366" s="3">
        <v>0.0</v>
      </c>
      <c r="F1366" s="3">
        <v>0.0</v>
      </c>
      <c r="G1366" s="3">
        <v>0.0</v>
      </c>
      <c r="H1366" s="3">
        <v>0.0</v>
      </c>
      <c r="I1366" s="2" t="str">
        <f>IFERROR(__xludf.DUMMYFUNCTION("INDEX(SPLIT(A1366, ""/""), 0, 2)"),"regex")</f>
        <v>regex</v>
      </c>
      <c r="J1366" s="2" t="b">
        <f t="shared" si="1"/>
        <v>0</v>
      </c>
    </row>
    <row r="1367">
      <c r="A1367" s="1" t="s">
        <v>721</v>
      </c>
      <c r="B1367" s="3">
        <v>113.0</v>
      </c>
      <c r="C1367" s="3">
        <v>60.0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2" t="str">
        <f>IFERROR(__xludf.DUMMYFUNCTION("INDEX(SPLIT(A1367, ""/""), 0, 2)"),"regex")</f>
        <v>regex</v>
      </c>
      <c r="J1367" s="2" t="b">
        <f t="shared" si="1"/>
        <v>0</v>
      </c>
    </row>
    <row r="1368">
      <c r="A1368" s="1" t="s">
        <v>722</v>
      </c>
      <c r="B1368" s="3">
        <v>1128.0</v>
      </c>
      <c r="C1368" s="3">
        <v>60.0</v>
      </c>
      <c r="D1368" s="3">
        <v>1.0</v>
      </c>
      <c r="E1368" s="3">
        <v>0.0</v>
      </c>
      <c r="F1368" s="3">
        <v>0.0</v>
      </c>
      <c r="G1368" s="3">
        <v>0.0</v>
      </c>
      <c r="H1368" s="3">
        <v>0.0</v>
      </c>
      <c r="I1368" s="2" t="str">
        <f>IFERROR(__xludf.DUMMYFUNCTION("INDEX(SPLIT(A1368, ""/""), 0, 2)"),"regex")</f>
        <v>regex</v>
      </c>
      <c r="J1368" s="2" t="b">
        <f t="shared" si="1"/>
        <v>0</v>
      </c>
    </row>
    <row r="1369">
      <c r="A1369" s="1" t="s">
        <v>723</v>
      </c>
      <c r="B1369" s="3">
        <v>21.0</v>
      </c>
      <c r="C1369" s="3">
        <v>60.0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2" t="str">
        <f>IFERROR(__xludf.DUMMYFUNCTION("INDEX(SPLIT(A1369, ""/""), 0, 2)"),"regex")</f>
        <v>regex</v>
      </c>
      <c r="J1369" s="2" t="b">
        <f t="shared" si="1"/>
        <v>0</v>
      </c>
    </row>
    <row r="1370">
      <c r="A1370" s="1" t="s">
        <v>724</v>
      </c>
      <c r="B1370" s="3">
        <v>112.0</v>
      </c>
      <c r="C1370" s="3">
        <v>60.0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2" t="str">
        <f>IFERROR(__xludf.DUMMYFUNCTION("INDEX(SPLIT(A1370, ""/""), 0, 2)"),"regex")</f>
        <v>regex</v>
      </c>
      <c r="J1370" s="2" t="b">
        <f t="shared" si="1"/>
        <v>0</v>
      </c>
    </row>
    <row r="1371">
      <c r="A1371" s="1" t="s">
        <v>725</v>
      </c>
      <c r="B1371" s="3">
        <v>37.0</v>
      </c>
      <c r="C1371" s="3">
        <v>60.0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2" t="str">
        <f>IFERROR(__xludf.DUMMYFUNCTION("INDEX(SPLIT(A1371, ""/""), 0, 2)"),"regex")</f>
        <v>regex</v>
      </c>
      <c r="J1371" s="2" t="b">
        <f t="shared" si="1"/>
        <v>0</v>
      </c>
    </row>
    <row r="1372">
      <c r="A1372" s="1" t="s">
        <v>726</v>
      </c>
      <c r="B1372" s="3">
        <v>23.0</v>
      </c>
      <c r="C1372" s="3">
        <v>60.0</v>
      </c>
      <c r="D1372" s="3">
        <v>0.0</v>
      </c>
      <c r="E1372" s="3">
        <v>0.0</v>
      </c>
      <c r="F1372" s="3">
        <v>0.0</v>
      </c>
      <c r="G1372" s="3">
        <v>0.0</v>
      </c>
      <c r="H1372" s="3">
        <v>0.0</v>
      </c>
      <c r="I1372" s="2" t="str">
        <f>IFERROR(__xludf.DUMMYFUNCTION("INDEX(SPLIT(A1372, ""/""), 0, 2)"),"regex")</f>
        <v>regex</v>
      </c>
      <c r="J1372" s="2" t="b">
        <f t="shared" si="1"/>
        <v>0</v>
      </c>
    </row>
    <row r="1373">
      <c r="A1373" s="1" t="s">
        <v>727</v>
      </c>
      <c r="B1373" s="3">
        <v>53.0</v>
      </c>
      <c r="C1373" s="3">
        <v>60.0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2" t="str">
        <f>IFERROR(__xludf.DUMMYFUNCTION("INDEX(SPLIT(A1373, ""/""), 0, 2)"),"regex")</f>
        <v>regex</v>
      </c>
      <c r="J1373" s="2" t="b">
        <f t="shared" si="1"/>
        <v>0</v>
      </c>
    </row>
    <row r="1374">
      <c r="A1374" s="1" t="s">
        <v>728</v>
      </c>
      <c r="B1374" s="3">
        <v>53.0</v>
      </c>
      <c r="C1374" s="3">
        <v>60.0</v>
      </c>
      <c r="D1374" s="3">
        <v>0.0</v>
      </c>
      <c r="E1374" s="3">
        <v>0.0</v>
      </c>
      <c r="F1374" s="3">
        <v>0.0</v>
      </c>
      <c r="G1374" s="3">
        <v>0.0</v>
      </c>
      <c r="H1374" s="3">
        <v>0.0</v>
      </c>
      <c r="I1374" s="2" t="str">
        <f>IFERROR(__xludf.DUMMYFUNCTION("INDEX(SPLIT(A1374, ""/""), 0, 2)"),"regex")</f>
        <v>regex</v>
      </c>
      <c r="J1374" s="2" t="b">
        <f t="shared" si="1"/>
        <v>0</v>
      </c>
    </row>
    <row r="1375">
      <c r="A1375" s="1" t="s">
        <v>729</v>
      </c>
      <c r="B1375" s="3">
        <v>42.0</v>
      </c>
      <c r="C1375" s="3">
        <v>60.0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2" t="str">
        <f>IFERROR(__xludf.DUMMYFUNCTION("INDEX(SPLIT(A1375, ""/""), 0, 2)"),"regex")</f>
        <v>regex</v>
      </c>
      <c r="J1375" s="2" t="b">
        <f t="shared" si="1"/>
        <v>0</v>
      </c>
    </row>
    <row r="1376">
      <c r="A1376" s="1" t="s">
        <v>730</v>
      </c>
      <c r="B1376" s="3">
        <v>28.0</v>
      </c>
      <c r="C1376" s="3">
        <v>60.0</v>
      </c>
      <c r="D1376" s="3">
        <v>0.0</v>
      </c>
      <c r="E1376" s="3">
        <v>0.0</v>
      </c>
      <c r="F1376" s="3">
        <v>0.0</v>
      </c>
      <c r="G1376" s="3">
        <v>0.0</v>
      </c>
      <c r="H1376" s="3">
        <v>0.0</v>
      </c>
      <c r="I1376" s="2" t="str">
        <f>IFERROR(__xludf.DUMMYFUNCTION("INDEX(SPLIT(A1376, ""/""), 0, 2)"),"regex")</f>
        <v>regex</v>
      </c>
      <c r="J1376" s="2" t="b">
        <f t="shared" si="1"/>
        <v>0</v>
      </c>
    </row>
    <row r="1377">
      <c r="A1377" s="1" t="s">
        <v>731</v>
      </c>
      <c r="B1377" s="3">
        <v>13.0</v>
      </c>
      <c r="C1377" s="3">
        <v>60.0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2" t="str">
        <f>IFERROR(__xludf.DUMMYFUNCTION("INDEX(SPLIT(A1377, ""/""), 0, 2)"),"regex")</f>
        <v>regex</v>
      </c>
      <c r="J1377" s="2" t="b">
        <f t="shared" si="1"/>
        <v>0</v>
      </c>
    </row>
    <row r="1378">
      <c r="A1378" s="1" t="s">
        <v>732</v>
      </c>
      <c r="B1378" s="3">
        <v>7.0</v>
      </c>
      <c r="C1378" s="3">
        <v>60.0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2" t="str">
        <f>IFERROR(__xludf.DUMMYFUNCTION("INDEX(SPLIT(A1378, ""/""), 0, 2)"),"regex")</f>
        <v>regex</v>
      </c>
      <c r="J1378" s="2" t="b">
        <f t="shared" si="1"/>
        <v>0</v>
      </c>
    </row>
    <row r="1379">
      <c r="A1379" s="1" t="s">
        <v>733</v>
      </c>
      <c r="B1379" s="3">
        <v>70.0</v>
      </c>
      <c r="C1379" s="3">
        <v>60.0</v>
      </c>
      <c r="D1379" s="3">
        <v>0.0</v>
      </c>
      <c r="E1379" s="3">
        <v>0.0</v>
      </c>
      <c r="F1379" s="3">
        <v>0.0</v>
      </c>
      <c r="G1379" s="3">
        <v>0.0</v>
      </c>
      <c r="H1379" s="3">
        <v>0.0</v>
      </c>
      <c r="I1379" s="2" t="str">
        <f>IFERROR(__xludf.DUMMYFUNCTION("INDEX(SPLIT(A1379, ""/""), 0, 2)"),"regex")</f>
        <v>regex</v>
      </c>
      <c r="J1379" s="2" t="b">
        <f t="shared" si="1"/>
        <v>0</v>
      </c>
    </row>
    <row r="1380">
      <c r="A1380" s="1" t="s">
        <v>734</v>
      </c>
      <c r="B1380" s="3">
        <v>42.0</v>
      </c>
      <c r="C1380" s="3">
        <v>60.0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2" t="str">
        <f>IFERROR(__xludf.DUMMYFUNCTION("INDEX(SPLIT(A1380, ""/""), 0, 2)"),"regex")</f>
        <v>regex</v>
      </c>
      <c r="J1380" s="2" t="b">
        <f t="shared" si="1"/>
        <v>0</v>
      </c>
    </row>
    <row r="1381">
      <c r="A1381" s="1" t="s">
        <v>735</v>
      </c>
      <c r="B1381" s="3">
        <v>403.0</v>
      </c>
      <c r="C1381" s="3">
        <v>60.0</v>
      </c>
      <c r="D1381" s="3">
        <v>0.0</v>
      </c>
      <c r="E1381" s="3">
        <v>0.0</v>
      </c>
      <c r="F1381" s="3">
        <v>0.0</v>
      </c>
      <c r="G1381" s="3">
        <v>0.0</v>
      </c>
      <c r="H1381" s="3">
        <v>0.0</v>
      </c>
      <c r="I1381" s="2" t="str">
        <f>IFERROR(__xludf.DUMMYFUNCTION("INDEX(SPLIT(A1381, ""/""), 0, 2)"),"regex")</f>
        <v>regex</v>
      </c>
      <c r="J1381" s="2" t="b">
        <f t="shared" si="1"/>
        <v>0</v>
      </c>
    </row>
    <row r="1382">
      <c r="A1382" s="1" t="s">
        <v>736</v>
      </c>
      <c r="B1382" s="3">
        <v>72.0</v>
      </c>
      <c r="C1382" s="3">
        <v>60.0</v>
      </c>
      <c r="D1382" s="3">
        <v>0.0</v>
      </c>
      <c r="E1382" s="3">
        <v>0.0</v>
      </c>
      <c r="F1382" s="3">
        <v>0.0</v>
      </c>
      <c r="G1382" s="3">
        <v>0.0</v>
      </c>
      <c r="H1382" s="3">
        <v>0.0</v>
      </c>
      <c r="I1382" s="2" t="str">
        <f>IFERROR(__xludf.DUMMYFUNCTION("INDEX(SPLIT(A1382, ""/""), 0, 2)"),"regex")</f>
        <v>regex</v>
      </c>
      <c r="J1382" s="2" t="b">
        <f t="shared" si="1"/>
        <v>0</v>
      </c>
    </row>
    <row r="1383">
      <c r="A1383" s="1" t="s">
        <v>737</v>
      </c>
      <c r="B1383" s="3">
        <v>7.0</v>
      </c>
      <c r="C1383" s="3">
        <v>60.0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  <c r="I1383" s="2" t="str">
        <f>IFERROR(__xludf.DUMMYFUNCTION("INDEX(SPLIT(A1383, ""/""), 0, 2)"),"regex")</f>
        <v>regex</v>
      </c>
      <c r="J1383" s="2" t="b">
        <f t="shared" si="1"/>
        <v>0</v>
      </c>
    </row>
    <row r="1384">
      <c r="A1384" s="1" t="s">
        <v>738</v>
      </c>
      <c r="B1384" s="3">
        <v>9.0</v>
      </c>
      <c r="C1384" s="3">
        <v>60.0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2" t="str">
        <f>IFERROR(__xludf.DUMMYFUNCTION("INDEX(SPLIT(A1384, ""/""), 0, 2)"),"regex")</f>
        <v>regex</v>
      </c>
      <c r="J1384" s="2" t="b">
        <f t="shared" si="1"/>
        <v>0</v>
      </c>
    </row>
    <row r="1385">
      <c r="A1385" s="1" t="s">
        <v>739</v>
      </c>
      <c r="B1385" s="3">
        <v>68.0</v>
      </c>
      <c r="C1385" s="3">
        <v>60.0</v>
      </c>
      <c r="D1385" s="3">
        <v>0.0</v>
      </c>
      <c r="E1385" s="3">
        <v>0.0</v>
      </c>
      <c r="F1385" s="3">
        <v>0.0</v>
      </c>
      <c r="G1385" s="3">
        <v>0.0</v>
      </c>
      <c r="H1385" s="3">
        <v>0.0</v>
      </c>
      <c r="I1385" s="2" t="str">
        <f>IFERROR(__xludf.DUMMYFUNCTION("INDEX(SPLIT(A1385, ""/""), 0, 2)"),"regex")</f>
        <v>regex</v>
      </c>
      <c r="J1385" s="2" t="b">
        <f t="shared" si="1"/>
        <v>0</v>
      </c>
    </row>
    <row r="1386">
      <c r="A1386" s="1" t="s">
        <v>740</v>
      </c>
      <c r="B1386" s="3">
        <v>200.0</v>
      </c>
      <c r="C1386" s="3">
        <v>60.0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2" t="str">
        <f>IFERROR(__xludf.DUMMYFUNCTION("INDEX(SPLIT(A1386, ""/""), 0, 2)"),"regex")</f>
        <v>regex</v>
      </c>
      <c r="J1386" s="2" t="b">
        <f t="shared" si="1"/>
        <v>0</v>
      </c>
    </row>
    <row r="1387">
      <c r="A1387" s="1" t="s">
        <v>741</v>
      </c>
      <c r="B1387" s="3">
        <v>11.0</v>
      </c>
      <c r="C1387" s="3">
        <v>60.0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2" t="str">
        <f>IFERROR(__xludf.DUMMYFUNCTION("INDEX(SPLIT(A1387, ""/""), 0, 2)"),"regex")</f>
        <v>regex</v>
      </c>
      <c r="J1387" s="2" t="b">
        <f t="shared" si="1"/>
        <v>0</v>
      </c>
    </row>
    <row r="1388">
      <c r="A1388" s="1" t="s">
        <v>742</v>
      </c>
      <c r="B1388" s="3">
        <v>99.0</v>
      </c>
      <c r="C1388" s="3">
        <v>60.0</v>
      </c>
      <c r="D1388" s="3">
        <v>0.0</v>
      </c>
      <c r="E1388" s="3">
        <v>0.0</v>
      </c>
      <c r="F1388" s="3">
        <v>0.0</v>
      </c>
      <c r="G1388" s="3">
        <v>0.0</v>
      </c>
      <c r="H1388" s="3">
        <v>0.0</v>
      </c>
      <c r="I1388" s="2" t="str">
        <f>IFERROR(__xludf.DUMMYFUNCTION("INDEX(SPLIT(A1388, ""/""), 0, 2)"),"regex")</f>
        <v>regex</v>
      </c>
      <c r="J1388" s="2" t="b">
        <f t="shared" si="1"/>
        <v>0</v>
      </c>
    </row>
    <row r="1389">
      <c r="A1389" s="1" t="s">
        <v>743</v>
      </c>
      <c r="B1389" s="3">
        <v>121.0</v>
      </c>
      <c r="C1389" s="3">
        <v>60.0</v>
      </c>
      <c r="D1389" s="3">
        <v>0.0</v>
      </c>
      <c r="E1389" s="3">
        <v>0.0</v>
      </c>
      <c r="F1389" s="3">
        <v>0.0</v>
      </c>
      <c r="G1389" s="3">
        <v>0.0</v>
      </c>
      <c r="H1389" s="3">
        <v>0.0</v>
      </c>
      <c r="I1389" s="2" t="str">
        <f>IFERROR(__xludf.DUMMYFUNCTION("INDEX(SPLIT(A1389, ""/""), 0, 2)"),"regex")</f>
        <v>regex</v>
      </c>
      <c r="J1389" s="2" t="b">
        <f t="shared" si="1"/>
        <v>0</v>
      </c>
    </row>
    <row r="1390">
      <c r="A1390" s="1" t="s">
        <v>744</v>
      </c>
      <c r="B1390" s="3">
        <v>28.0</v>
      </c>
      <c r="C1390" s="3">
        <v>60.0</v>
      </c>
      <c r="D1390" s="3">
        <v>0.0</v>
      </c>
      <c r="E1390" s="3">
        <v>0.0</v>
      </c>
      <c r="F1390" s="3">
        <v>0.0</v>
      </c>
      <c r="G1390" s="3">
        <v>0.0</v>
      </c>
      <c r="H1390" s="3">
        <v>0.0</v>
      </c>
      <c r="I1390" s="2" t="str">
        <f>IFERROR(__xludf.DUMMYFUNCTION("INDEX(SPLIT(A1390, ""/""), 0, 2)"),"regex")</f>
        <v>regex</v>
      </c>
      <c r="J1390" s="2" t="b">
        <f t="shared" si="1"/>
        <v>0</v>
      </c>
    </row>
    <row r="1391">
      <c r="A1391" s="1" t="s">
        <v>745</v>
      </c>
      <c r="B1391" s="3">
        <v>83.0</v>
      </c>
      <c r="C1391" s="3">
        <v>60.0</v>
      </c>
      <c r="D1391" s="3">
        <v>0.0</v>
      </c>
      <c r="E1391" s="3">
        <v>0.0</v>
      </c>
      <c r="F1391" s="3">
        <v>0.0</v>
      </c>
      <c r="G1391" s="3">
        <v>0.0</v>
      </c>
      <c r="H1391" s="3">
        <v>0.0</v>
      </c>
      <c r="I1391" s="2" t="str">
        <f>IFERROR(__xludf.DUMMYFUNCTION("INDEX(SPLIT(A1391, ""/""), 0, 2)"),"regex")</f>
        <v>regex</v>
      </c>
      <c r="J1391" s="2" t="b">
        <f t="shared" si="1"/>
        <v>0</v>
      </c>
    </row>
    <row r="1392">
      <c r="A1392" s="1" t="s">
        <v>746</v>
      </c>
      <c r="B1392" s="3">
        <v>35.0</v>
      </c>
      <c r="C1392" s="3">
        <v>60.0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2" t="str">
        <f>IFERROR(__xludf.DUMMYFUNCTION("INDEX(SPLIT(A1392, ""/""), 0, 2)"),"regex")</f>
        <v>regex</v>
      </c>
      <c r="J1392" s="2" t="b">
        <f t="shared" si="1"/>
        <v>0</v>
      </c>
    </row>
    <row r="1393">
      <c r="A1393" s="1" t="s">
        <v>747</v>
      </c>
      <c r="B1393" s="3">
        <v>42.0</v>
      </c>
      <c r="C1393" s="3">
        <v>60.0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2" t="str">
        <f>IFERROR(__xludf.DUMMYFUNCTION("INDEX(SPLIT(A1393, ""/""), 0, 2)"),"regex")</f>
        <v>regex</v>
      </c>
      <c r="J1393" s="2" t="b">
        <f t="shared" si="1"/>
        <v>0</v>
      </c>
    </row>
    <row r="1394">
      <c r="A1394" s="1" t="s">
        <v>748</v>
      </c>
      <c r="B1394" s="3">
        <v>32.0</v>
      </c>
      <c r="C1394" s="3">
        <v>60.0</v>
      </c>
      <c r="D1394" s="3">
        <v>0.0</v>
      </c>
      <c r="E1394" s="3">
        <v>0.0</v>
      </c>
      <c r="F1394" s="3">
        <v>0.0</v>
      </c>
      <c r="G1394" s="3">
        <v>0.0</v>
      </c>
      <c r="H1394" s="3">
        <v>0.0</v>
      </c>
      <c r="I1394" s="2" t="str">
        <f>IFERROR(__xludf.DUMMYFUNCTION("INDEX(SPLIT(A1394, ""/""), 0, 2)"),"regex")</f>
        <v>regex</v>
      </c>
      <c r="J1394" s="2" t="b">
        <f t="shared" si="1"/>
        <v>0</v>
      </c>
    </row>
    <row r="1395">
      <c r="A1395" s="1" t="s">
        <v>749</v>
      </c>
      <c r="B1395" s="3">
        <v>30.0</v>
      </c>
      <c r="C1395" s="3">
        <v>60.0</v>
      </c>
      <c r="D1395" s="3">
        <v>0.0</v>
      </c>
      <c r="E1395" s="3">
        <v>0.0</v>
      </c>
      <c r="F1395" s="3">
        <v>0.0</v>
      </c>
      <c r="G1395" s="3">
        <v>0.0</v>
      </c>
      <c r="H1395" s="3">
        <v>0.0</v>
      </c>
      <c r="I1395" s="2" t="str">
        <f>IFERROR(__xludf.DUMMYFUNCTION("INDEX(SPLIT(A1395, ""/""), 0, 2)"),"regex")</f>
        <v>regex</v>
      </c>
      <c r="J1395" s="2" t="b">
        <f t="shared" si="1"/>
        <v>0</v>
      </c>
    </row>
    <row r="1396">
      <c r="A1396" s="1" t="s">
        <v>750</v>
      </c>
      <c r="B1396" s="3">
        <v>20.0</v>
      </c>
      <c r="C1396" s="3">
        <v>60.0</v>
      </c>
      <c r="D1396" s="3">
        <v>0.0</v>
      </c>
      <c r="E1396" s="3">
        <v>0.0</v>
      </c>
      <c r="F1396" s="3">
        <v>0.0</v>
      </c>
      <c r="G1396" s="3">
        <v>0.0</v>
      </c>
      <c r="H1396" s="3">
        <v>0.0</v>
      </c>
      <c r="I1396" s="2" t="str">
        <f>IFERROR(__xludf.DUMMYFUNCTION("INDEX(SPLIT(A1396, ""/""), 0, 2)"),"regex")</f>
        <v>regex</v>
      </c>
      <c r="J1396" s="2" t="b">
        <f t="shared" si="1"/>
        <v>0</v>
      </c>
    </row>
    <row r="1397">
      <c r="A1397" s="1" t="s">
        <v>751</v>
      </c>
      <c r="B1397" s="3">
        <v>6.0</v>
      </c>
      <c r="C1397" s="3">
        <v>60.0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2" t="str">
        <f>IFERROR(__xludf.DUMMYFUNCTION("INDEX(SPLIT(A1397, ""/""), 0, 2)"),"regex")</f>
        <v>regex</v>
      </c>
      <c r="J1397" s="2" t="b">
        <f t="shared" si="1"/>
        <v>0</v>
      </c>
    </row>
    <row r="1398">
      <c r="A1398" s="1" t="s">
        <v>752</v>
      </c>
      <c r="B1398" s="3">
        <v>27.0</v>
      </c>
      <c r="C1398" s="3">
        <v>60.0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2" t="str">
        <f>IFERROR(__xludf.DUMMYFUNCTION("INDEX(SPLIT(A1398, ""/""), 0, 2)"),"regex")</f>
        <v>regex</v>
      </c>
      <c r="J1398" s="2" t="b">
        <f t="shared" si="1"/>
        <v>0</v>
      </c>
    </row>
    <row r="1399">
      <c r="A1399" s="1" t="s">
        <v>753</v>
      </c>
      <c r="B1399" s="3">
        <v>10.0</v>
      </c>
      <c r="C1399" s="3">
        <v>60.0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2" t="str">
        <f>IFERROR(__xludf.DUMMYFUNCTION("INDEX(SPLIT(A1399, ""/""), 0, 2)"),"regex")</f>
        <v>regex</v>
      </c>
      <c r="J1399" s="2" t="b">
        <f t="shared" si="1"/>
        <v>0</v>
      </c>
    </row>
    <row r="1400">
      <c r="A1400" s="1" t="s">
        <v>754</v>
      </c>
      <c r="B1400" s="3">
        <v>42.0</v>
      </c>
      <c r="C1400" s="3">
        <v>60.0</v>
      </c>
      <c r="D1400" s="3">
        <v>0.0</v>
      </c>
      <c r="E1400" s="3">
        <v>0.0</v>
      </c>
      <c r="F1400" s="3">
        <v>0.0</v>
      </c>
      <c r="G1400" s="3">
        <v>0.0</v>
      </c>
      <c r="H1400" s="3">
        <v>0.0</v>
      </c>
      <c r="I1400" s="2" t="str">
        <f>IFERROR(__xludf.DUMMYFUNCTION("INDEX(SPLIT(A1400, ""/""), 0, 2)"),"regex")</f>
        <v>regex</v>
      </c>
      <c r="J1400" s="2" t="b">
        <f t="shared" si="1"/>
        <v>0</v>
      </c>
    </row>
    <row r="1401">
      <c r="A1401" s="1" t="s">
        <v>755</v>
      </c>
      <c r="B1401" s="3">
        <v>26.0</v>
      </c>
      <c r="C1401" s="3">
        <v>60.0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2" t="str">
        <f>IFERROR(__xludf.DUMMYFUNCTION("INDEX(SPLIT(A1401, ""/""), 0, 2)"),"regex")</f>
        <v>regex</v>
      </c>
      <c r="J1401" s="2" t="b">
        <f t="shared" si="1"/>
        <v>0</v>
      </c>
    </row>
    <row r="1402">
      <c r="A1402" s="1" t="s">
        <v>756</v>
      </c>
      <c r="B1402" s="3">
        <v>65.0</v>
      </c>
      <c r="C1402" s="3">
        <v>60.0</v>
      </c>
      <c r="D1402" s="3">
        <v>0.0</v>
      </c>
      <c r="E1402" s="3">
        <v>0.0</v>
      </c>
      <c r="F1402" s="3">
        <v>0.0</v>
      </c>
      <c r="G1402" s="3">
        <v>0.0</v>
      </c>
      <c r="H1402" s="3">
        <v>0.0</v>
      </c>
      <c r="I1402" s="2" t="str">
        <f>IFERROR(__xludf.DUMMYFUNCTION("INDEX(SPLIT(A1402, ""/""), 0, 2)"),"regex")</f>
        <v>regex</v>
      </c>
      <c r="J1402" s="2" t="b">
        <f t="shared" si="1"/>
        <v>0</v>
      </c>
    </row>
    <row r="1403">
      <c r="A1403" s="1" t="s">
        <v>757</v>
      </c>
      <c r="B1403" s="3">
        <v>173.0</v>
      </c>
      <c r="C1403" s="3">
        <v>60.0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2" t="str">
        <f>IFERROR(__xludf.DUMMYFUNCTION("INDEX(SPLIT(A1403, ""/""), 0, 2)"),"regex")</f>
        <v>regex</v>
      </c>
      <c r="J1403" s="2" t="b">
        <f t="shared" si="1"/>
        <v>0</v>
      </c>
    </row>
    <row r="1404">
      <c r="A1404" s="1" t="s">
        <v>758</v>
      </c>
      <c r="B1404" s="3">
        <v>51.0</v>
      </c>
      <c r="C1404" s="3">
        <v>60.0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2" t="str">
        <f>IFERROR(__xludf.DUMMYFUNCTION("INDEX(SPLIT(A1404, ""/""), 0, 2)"),"regex")</f>
        <v>regex</v>
      </c>
      <c r="J1404" s="2" t="b">
        <f t="shared" si="1"/>
        <v>0</v>
      </c>
    </row>
    <row r="1405">
      <c r="A1405" s="1" t="s">
        <v>759</v>
      </c>
      <c r="B1405" s="3">
        <v>74.0</v>
      </c>
      <c r="C1405" s="3">
        <v>60.0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2" t="str">
        <f>IFERROR(__xludf.DUMMYFUNCTION("INDEX(SPLIT(A1405, ""/""), 0, 2)"),"regex")</f>
        <v>regex</v>
      </c>
      <c r="J1405" s="2" t="b">
        <f t="shared" si="1"/>
        <v>0</v>
      </c>
    </row>
    <row r="1406">
      <c r="A1406" s="1" t="s">
        <v>760</v>
      </c>
      <c r="B1406" s="3">
        <v>24.0</v>
      </c>
      <c r="C1406" s="3">
        <v>60.0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2" t="str">
        <f>IFERROR(__xludf.DUMMYFUNCTION("INDEX(SPLIT(A1406, ""/""), 0, 2)"),"regex")</f>
        <v>regex</v>
      </c>
      <c r="J1406" s="2" t="b">
        <f t="shared" si="1"/>
        <v>0</v>
      </c>
    </row>
    <row r="1407">
      <c r="A1407" s="1" t="s">
        <v>761</v>
      </c>
      <c r="B1407" s="3">
        <v>31.0</v>
      </c>
      <c r="C1407" s="3">
        <v>60.0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2" t="str">
        <f>IFERROR(__xludf.DUMMYFUNCTION("INDEX(SPLIT(A1407, ""/""), 0, 2)"),"regex")</f>
        <v>regex</v>
      </c>
      <c r="J1407" s="2" t="b">
        <f t="shared" si="1"/>
        <v>0</v>
      </c>
    </row>
    <row r="1408">
      <c r="A1408" s="1" t="s">
        <v>762</v>
      </c>
      <c r="B1408" s="3">
        <v>31.0</v>
      </c>
      <c r="C1408" s="3">
        <v>60.0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2" t="str">
        <f>IFERROR(__xludf.DUMMYFUNCTION("INDEX(SPLIT(A1408, ""/""), 0, 2)"),"regex")</f>
        <v>regex</v>
      </c>
      <c r="J1408" s="2" t="b">
        <f t="shared" si="1"/>
        <v>0</v>
      </c>
    </row>
    <row r="1409">
      <c r="A1409" s="1" t="s">
        <v>763</v>
      </c>
      <c r="B1409" s="3">
        <v>21.0</v>
      </c>
      <c r="C1409" s="3">
        <v>60.0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2" t="str">
        <f>IFERROR(__xludf.DUMMYFUNCTION("INDEX(SPLIT(A1409, ""/""), 0, 2)"),"regex")</f>
        <v>regex</v>
      </c>
      <c r="J1409" s="2" t="b">
        <f t="shared" si="1"/>
        <v>0</v>
      </c>
    </row>
    <row r="1410">
      <c r="A1410" s="1" t="s">
        <v>764</v>
      </c>
      <c r="B1410" s="3">
        <v>27.0</v>
      </c>
      <c r="C1410" s="3">
        <v>60.0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2" t="str">
        <f>IFERROR(__xludf.DUMMYFUNCTION("INDEX(SPLIT(A1410, ""/""), 0, 2)"),"regex")</f>
        <v>regex</v>
      </c>
      <c r="J1410" s="2" t="b">
        <f t="shared" si="1"/>
        <v>0</v>
      </c>
    </row>
    <row r="1411">
      <c r="A1411" s="1" t="s">
        <v>765</v>
      </c>
      <c r="B1411" s="3">
        <v>77.0</v>
      </c>
      <c r="C1411" s="3">
        <v>60.0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2" t="str">
        <f>IFERROR(__xludf.DUMMYFUNCTION("INDEX(SPLIT(A1411, ""/""), 0, 2)"),"regex")</f>
        <v>regex</v>
      </c>
      <c r="J1411" s="2" t="b">
        <f t="shared" si="1"/>
        <v>0</v>
      </c>
    </row>
    <row r="1412">
      <c r="A1412" s="1" t="s">
        <v>766</v>
      </c>
      <c r="B1412" s="3">
        <v>67.0</v>
      </c>
      <c r="C1412" s="3">
        <v>60.0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2" t="str">
        <f>IFERROR(__xludf.DUMMYFUNCTION("INDEX(SPLIT(A1412, ""/""), 0, 2)"),"regex")</f>
        <v>regex</v>
      </c>
      <c r="J1412" s="2" t="b">
        <f t="shared" si="1"/>
        <v>0</v>
      </c>
    </row>
    <row r="1413">
      <c r="A1413" s="1" t="s">
        <v>767</v>
      </c>
      <c r="B1413" s="3">
        <v>33.0</v>
      </c>
      <c r="C1413" s="3">
        <v>60.0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2" t="str">
        <f>IFERROR(__xludf.DUMMYFUNCTION("INDEX(SPLIT(A1413, ""/""), 0, 2)"),"regex")</f>
        <v>regex</v>
      </c>
      <c r="J1413" s="2" t="b">
        <f t="shared" si="1"/>
        <v>0</v>
      </c>
    </row>
    <row r="1414">
      <c r="A1414" s="1" t="s">
        <v>768</v>
      </c>
      <c r="B1414" s="3">
        <v>11.0</v>
      </c>
      <c r="C1414" s="3">
        <v>60.0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2" t="str">
        <f>IFERROR(__xludf.DUMMYFUNCTION("INDEX(SPLIT(A1414, ""/""), 0, 2)"),"regex")</f>
        <v>regex</v>
      </c>
      <c r="J1414" s="2" t="b">
        <f t="shared" si="1"/>
        <v>0</v>
      </c>
    </row>
    <row r="1415">
      <c r="A1415" s="1" t="s">
        <v>769</v>
      </c>
      <c r="B1415" s="3">
        <v>7.0</v>
      </c>
      <c r="C1415" s="3">
        <v>60.0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2" t="str">
        <f>IFERROR(__xludf.DUMMYFUNCTION("INDEX(SPLIT(A1415, ""/""), 0, 2)"),"regex")</f>
        <v>regex</v>
      </c>
      <c r="J1415" s="2" t="b">
        <f t="shared" si="1"/>
        <v>0</v>
      </c>
    </row>
    <row r="1416">
      <c r="A1416" s="1" t="s">
        <v>770</v>
      </c>
      <c r="B1416" s="3">
        <v>34.0</v>
      </c>
      <c r="C1416" s="3">
        <v>60.0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2" t="str">
        <f>IFERROR(__xludf.DUMMYFUNCTION("INDEX(SPLIT(A1416, ""/""), 0, 2)"),"regex")</f>
        <v>regex</v>
      </c>
      <c r="J1416" s="2" t="b">
        <f t="shared" si="1"/>
        <v>0</v>
      </c>
    </row>
    <row r="1417">
      <c r="A1417" s="1" t="s">
        <v>771</v>
      </c>
      <c r="B1417" s="3">
        <v>12.0</v>
      </c>
      <c r="C1417" s="3">
        <v>60.0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2" t="str">
        <f>IFERROR(__xludf.DUMMYFUNCTION("INDEX(SPLIT(A1417, ""/""), 0, 2)"),"regex")</f>
        <v>regex</v>
      </c>
      <c r="J1417" s="2" t="b">
        <f t="shared" si="1"/>
        <v>0</v>
      </c>
    </row>
    <row r="1418">
      <c r="A1418" s="1" t="s">
        <v>772</v>
      </c>
      <c r="B1418" s="3">
        <v>15.0</v>
      </c>
      <c r="C1418" s="3">
        <v>60.0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2" t="str">
        <f>IFERROR(__xludf.DUMMYFUNCTION("INDEX(SPLIT(A1418, ""/""), 0, 2)"),"regex")</f>
        <v>regex</v>
      </c>
      <c r="J1418" s="2" t="b">
        <f t="shared" si="1"/>
        <v>0</v>
      </c>
    </row>
    <row r="1419">
      <c r="A1419" s="1" t="s">
        <v>773</v>
      </c>
      <c r="B1419" s="3">
        <v>5.0</v>
      </c>
      <c r="C1419" s="3">
        <v>60.0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2" t="str">
        <f>IFERROR(__xludf.DUMMYFUNCTION("INDEX(SPLIT(A1419, ""/""), 0, 2)"),"regex")</f>
        <v>regex</v>
      </c>
      <c r="J1419" s="2" t="b">
        <f t="shared" si="1"/>
        <v>0</v>
      </c>
    </row>
    <row r="1420">
      <c r="A1420" s="1" t="s">
        <v>774</v>
      </c>
      <c r="B1420" s="3">
        <v>56.0</v>
      </c>
      <c r="C1420" s="3">
        <v>60.0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2" t="str">
        <f>IFERROR(__xludf.DUMMYFUNCTION("INDEX(SPLIT(A1420, ""/""), 0, 2)"),"regex")</f>
        <v>regex</v>
      </c>
      <c r="J1420" s="2" t="b">
        <f t="shared" si="1"/>
        <v>0</v>
      </c>
    </row>
    <row r="1421">
      <c r="A1421" s="1" t="s">
        <v>775</v>
      </c>
      <c r="B1421" s="3">
        <v>90.0</v>
      </c>
      <c r="C1421" s="3">
        <v>60.0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2" t="str">
        <f>IFERROR(__xludf.DUMMYFUNCTION("INDEX(SPLIT(A1421, ""/""), 0, 2)"),"regex")</f>
        <v>regex</v>
      </c>
      <c r="J1421" s="2" t="b">
        <f t="shared" si="1"/>
        <v>0</v>
      </c>
    </row>
    <row r="1422">
      <c r="A1422" s="1" t="s">
        <v>776</v>
      </c>
      <c r="B1422" s="3">
        <v>76.0</v>
      </c>
      <c r="C1422" s="3">
        <v>60.0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2" t="str">
        <f>IFERROR(__xludf.DUMMYFUNCTION("INDEX(SPLIT(A1422, ""/""), 0, 2)"),"regex")</f>
        <v>regex</v>
      </c>
      <c r="J1422" s="2" t="b">
        <f t="shared" si="1"/>
        <v>0</v>
      </c>
    </row>
    <row r="1423">
      <c r="A1423" s="1" t="s">
        <v>777</v>
      </c>
      <c r="B1423" s="3">
        <v>34.0</v>
      </c>
      <c r="C1423" s="3">
        <v>60.0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2" t="str">
        <f>IFERROR(__xludf.DUMMYFUNCTION("INDEX(SPLIT(A1423, ""/""), 0, 2)"),"regex")</f>
        <v>regex</v>
      </c>
      <c r="J1423" s="2" t="b">
        <f t="shared" si="1"/>
        <v>0</v>
      </c>
    </row>
    <row r="1424">
      <c r="A1424" s="1" t="s">
        <v>778</v>
      </c>
      <c r="B1424" s="3">
        <v>132.0</v>
      </c>
      <c r="C1424" s="3">
        <v>60.0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2" t="str">
        <f>IFERROR(__xludf.DUMMYFUNCTION("INDEX(SPLIT(A1424, ""/""), 0, 2)"),"regex")</f>
        <v>regex</v>
      </c>
      <c r="J1424" s="2" t="b">
        <f t="shared" si="1"/>
        <v>0</v>
      </c>
    </row>
    <row r="1425">
      <c r="A1425" s="1" t="s">
        <v>779</v>
      </c>
      <c r="B1425" s="3">
        <v>12.0</v>
      </c>
      <c r="C1425" s="3">
        <v>60.0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2" t="str">
        <f>IFERROR(__xludf.DUMMYFUNCTION("INDEX(SPLIT(A1425, ""/""), 0, 2)"),"regex")</f>
        <v>regex</v>
      </c>
      <c r="J1425" s="2" t="b">
        <f t="shared" si="1"/>
        <v>0</v>
      </c>
    </row>
    <row r="1426">
      <c r="A1426" s="1" t="s">
        <v>780</v>
      </c>
      <c r="B1426" s="3">
        <v>5.0</v>
      </c>
      <c r="C1426" s="3">
        <v>60.0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2" t="str">
        <f>IFERROR(__xludf.DUMMYFUNCTION("INDEX(SPLIT(A1426, ""/""), 0, 2)"),"regex")</f>
        <v>regex</v>
      </c>
      <c r="J1426" s="2" t="b">
        <f t="shared" si="1"/>
        <v>0</v>
      </c>
    </row>
    <row r="1427">
      <c r="A1427" s="1" t="s">
        <v>781</v>
      </c>
      <c r="B1427" s="3">
        <v>58.0</v>
      </c>
      <c r="C1427" s="3">
        <v>60.0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2" t="str">
        <f>IFERROR(__xludf.DUMMYFUNCTION("INDEX(SPLIT(A1427, ""/""), 0, 2)"),"regex")</f>
        <v>regex</v>
      </c>
      <c r="J1427" s="2" t="b">
        <f t="shared" si="1"/>
        <v>0</v>
      </c>
    </row>
    <row r="1428">
      <c r="A1428" s="1" t="s">
        <v>782</v>
      </c>
      <c r="B1428" s="3">
        <v>4.0</v>
      </c>
      <c r="C1428" s="3">
        <v>60.0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2" t="str">
        <f>IFERROR(__xludf.DUMMYFUNCTION("INDEX(SPLIT(A1428, ""/""), 0, 2)"),"regex")</f>
        <v>regex</v>
      </c>
      <c r="J1428" s="2" t="b">
        <f t="shared" si="1"/>
        <v>0</v>
      </c>
    </row>
    <row r="1429">
      <c r="A1429" s="1" t="s">
        <v>783</v>
      </c>
      <c r="B1429" s="3">
        <v>10.0</v>
      </c>
      <c r="C1429" s="3">
        <v>60.0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2" t="str">
        <f>IFERROR(__xludf.DUMMYFUNCTION("INDEX(SPLIT(A1429, ""/""), 0, 2)"),"regex")</f>
        <v>regex</v>
      </c>
      <c r="J1429" s="2" t="b">
        <f t="shared" si="1"/>
        <v>0</v>
      </c>
    </row>
    <row r="1430">
      <c r="A1430" s="1" t="s">
        <v>784</v>
      </c>
      <c r="B1430" s="3">
        <v>42.0</v>
      </c>
      <c r="C1430" s="3">
        <v>60.0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2" t="str">
        <f>IFERROR(__xludf.DUMMYFUNCTION("INDEX(SPLIT(A1430, ""/""), 0, 2)"),"regex")</f>
        <v>regex</v>
      </c>
      <c r="J1430" s="2" t="b">
        <f t="shared" si="1"/>
        <v>0</v>
      </c>
    </row>
    <row r="1431">
      <c r="A1431" s="1" t="s">
        <v>785</v>
      </c>
      <c r="B1431" s="3">
        <v>37.0</v>
      </c>
      <c r="C1431" s="3">
        <v>60.0</v>
      </c>
      <c r="D1431" s="3">
        <v>0.0</v>
      </c>
      <c r="E1431" s="3">
        <v>0.0</v>
      </c>
      <c r="F1431" s="3">
        <v>0.0</v>
      </c>
      <c r="G1431" s="3">
        <v>0.0</v>
      </c>
      <c r="H1431" s="3">
        <v>0.0</v>
      </c>
      <c r="I1431" s="2" t="str">
        <f>IFERROR(__xludf.DUMMYFUNCTION("INDEX(SPLIT(A1431, ""/""), 0, 2)"),"regex")</f>
        <v>regex</v>
      </c>
      <c r="J1431" s="2" t="b">
        <f t="shared" si="1"/>
        <v>0</v>
      </c>
    </row>
    <row r="1432">
      <c r="A1432" s="1" t="s">
        <v>786</v>
      </c>
      <c r="B1432" s="3">
        <v>33.0</v>
      </c>
      <c r="C1432" s="3">
        <v>60.0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2" t="str">
        <f>IFERROR(__xludf.DUMMYFUNCTION("INDEX(SPLIT(A1432, ""/""), 0, 2)"),"regex")</f>
        <v>regex</v>
      </c>
      <c r="J1432" s="2" t="b">
        <f t="shared" si="1"/>
        <v>0</v>
      </c>
    </row>
    <row r="1433">
      <c r="A1433" s="1" t="s">
        <v>787</v>
      </c>
      <c r="B1433" s="3">
        <v>5.0</v>
      </c>
      <c r="C1433" s="3">
        <v>60.0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2" t="str">
        <f>IFERROR(__xludf.DUMMYFUNCTION("INDEX(SPLIT(A1433, ""/""), 0, 2)"),"regex")</f>
        <v>regex</v>
      </c>
      <c r="J1433" s="2" t="b">
        <f t="shared" si="1"/>
        <v>0</v>
      </c>
    </row>
    <row r="1434">
      <c r="A1434" s="1" t="s">
        <v>788</v>
      </c>
      <c r="B1434" s="3">
        <v>14.0</v>
      </c>
      <c r="C1434" s="3">
        <v>60.0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2" t="str">
        <f>IFERROR(__xludf.DUMMYFUNCTION("INDEX(SPLIT(A1434, ""/""), 0, 2)"),"regex")</f>
        <v>regex</v>
      </c>
      <c r="J1434" s="2" t="b">
        <f t="shared" si="1"/>
        <v>0</v>
      </c>
    </row>
    <row r="1435">
      <c r="A1435" s="1" t="s">
        <v>789</v>
      </c>
      <c r="B1435" s="3">
        <v>168.0</v>
      </c>
      <c r="C1435" s="3">
        <v>60.0</v>
      </c>
      <c r="D1435" s="3">
        <v>0.0</v>
      </c>
      <c r="E1435" s="3">
        <v>0.0</v>
      </c>
      <c r="F1435" s="3">
        <v>0.0</v>
      </c>
      <c r="G1435" s="3">
        <v>0.0</v>
      </c>
      <c r="H1435" s="3">
        <v>0.0</v>
      </c>
      <c r="I1435" s="2" t="str">
        <f>IFERROR(__xludf.DUMMYFUNCTION("INDEX(SPLIT(A1435, ""/""), 0, 2)"),"regex")</f>
        <v>regex</v>
      </c>
      <c r="J1435" s="2" t="b">
        <f t="shared" si="1"/>
        <v>0</v>
      </c>
    </row>
    <row r="1436">
      <c r="A1436" s="1" t="s">
        <v>790</v>
      </c>
      <c r="B1436" s="3">
        <v>10.0</v>
      </c>
      <c r="C1436" s="3">
        <v>60.0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2" t="str">
        <f>IFERROR(__xludf.DUMMYFUNCTION("INDEX(SPLIT(A1436, ""/""), 0, 2)"),"regex")</f>
        <v>regex</v>
      </c>
      <c r="J1436" s="2" t="b">
        <f t="shared" si="1"/>
        <v>0</v>
      </c>
    </row>
    <row r="1437">
      <c r="A1437" s="1" t="s">
        <v>791</v>
      </c>
      <c r="B1437" s="3">
        <v>29.0</v>
      </c>
      <c r="C1437" s="3">
        <v>60.0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2" t="str">
        <f>IFERROR(__xludf.DUMMYFUNCTION("INDEX(SPLIT(A1437, ""/""), 0, 2)"),"regex")</f>
        <v>regex</v>
      </c>
      <c r="J1437" s="2" t="b">
        <f t="shared" si="1"/>
        <v>0</v>
      </c>
    </row>
    <row r="1438">
      <c r="A1438" s="1" t="s">
        <v>792</v>
      </c>
      <c r="B1438" s="3">
        <v>49.0</v>
      </c>
      <c r="C1438" s="3">
        <v>60.0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2" t="str">
        <f>IFERROR(__xludf.DUMMYFUNCTION("INDEX(SPLIT(A1438, ""/""), 0, 2)"),"regex")</f>
        <v>regex</v>
      </c>
      <c r="J1438" s="2" t="b">
        <f t="shared" si="1"/>
        <v>0</v>
      </c>
    </row>
    <row r="1439">
      <c r="A1439" s="1" t="s">
        <v>793</v>
      </c>
      <c r="B1439" s="3">
        <v>33.0</v>
      </c>
      <c r="C1439" s="3">
        <v>60.0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2" t="str">
        <f>IFERROR(__xludf.DUMMYFUNCTION("INDEX(SPLIT(A1439, ""/""), 0, 2)"),"regex")</f>
        <v>regex</v>
      </c>
      <c r="J1439" s="2" t="b">
        <f t="shared" si="1"/>
        <v>0</v>
      </c>
    </row>
    <row r="1440">
      <c r="A1440" s="1" t="s">
        <v>794</v>
      </c>
      <c r="B1440" s="3">
        <v>17.0</v>
      </c>
      <c r="C1440" s="3">
        <v>60.0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2" t="str">
        <f>IFERROR(__xludf.DUMMYFUNCTION("INDEX(SPLIT(A1440, ""/""), 0, 2)"),"regex")</f>
        <v>regex</v>
      </c>
      <c r="J1440" s="2" t="b">
        <f t="shared" si="1"/>
        <v>0</v>
      </c>
    </row>
    <row r="1441">
      <c r="A1441" s="1" t="s">
        <v>795</v>
      </c>
      <c r="B1441" s="3">
        <v>29.0</v>
      </c>
      <c r="C1441" s="3">
        <v>60.0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2" t="str">
        <f>IFERROR(__xludf.DUMMYFUNCTION("INDEX(SPLIT(A1441, ""/""), 0, 2)"),"regex")</f>
        <v>regex</v>
      </c>
      <c r="J1441" s="2" t="b">
        <f t="shared" si="1"/>
        <v>0</v>
      </c>
    </row>
    <row r="1442">
      <c r="A1442" s="1" t="s">
        <v>796</v>
      </c>
      <c r="B1442" s="3">
        <v>11.0</v>
      </c>
      <c r="C1442" s="3">
        <v>60.0</v>
      </c>
      <c r="D1442" s="3">
        <v>0.0</v>
      </c>
      <c r="E1442" s="3">
        <v>0.0</v>
      </c>
      <c r="F1442" s="3">
        <v>0.0</v>
      </c>
      <c r="G1442" s="3">
        <v>0.0</v>
      </c>
      <c r="H1442" s="3">
        <v>0.0</v>
      </c>
      <c r="I1442" s="2" t="str">
        <f>IFERROR(__xludf.DUMMYFUNCTION("INDEX(SPLIT(A1442, ""/""), 0, 2)"),"regex")</f>
        <v>regex</v>
      </c>
      <c r="J1442" s="2" t="b">
        <f t="shared" si="1"/>
        <v>0</v>
      </c>
    </row>
    <row r="1443">
      <c r="A1443" s="1" t="s">
        <v>797</v>
      </c>
      <c r="B1443" s="3">
        <v>12.0</v>
      </c>
      <c r="C1443" s="3">
        <v>60.0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2" t="str">
        <f>IFERROR(__xludf.DUMMYFUNCTION("INDEX(SPLIT(A1443, ""/""), 0, 2)"),"regex")</f>
        <v>regex</v>
      </c>
      <c r="J1443" s="2" t="b">
        <f t="shared" si="1"/>
        <v>0</v>
      </c>
    </row>
    <row r="1444">
      <c r="A1444" s="1" t="s">
        <v>798</v>
      </c>
      <c r="B1444" s="3">
        <v>766.0</v>
      </c>
      <c r="C1444" s="3">
        <v>60.0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2" t="str">
        <f>IFERROR(__xludf.DUMMYFUNCTION("INDEX(SPLIT(A1444, ""/""), 0, 2)"),"regex")</f>
        <v>regex</v>
      </c>
      <c r="J1444" s="2" t="b">
        <f t="shared" si="1"/>
        <v>0</v>
      </c>
    </row>
    <row r="1445">
      <c r="A1445" s="1" t="s">
        <v>799</v>
      </c>
      <c r="B1445" s="3">
        <v>43.0</v>
      </c>
      <c r="C1445" s="3">
        <v>60.0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2" t="str">
        <f>IFERROR(__xludf.DUMMYFUNCTION("INDEX(SPLIT(A1445, ""/""), 0, 2)"),"regex")</f>
        <v>regex</v>
      </c>
      <c r="J1445" s="2" t="b">
        <f t="shared" si="1"/>
        <v>0</v>
      </c>
    </row>
    <row r="1446">
      <c r="A1446" s="1" t="s">
        <v>800</v>
      </c>
      <c r="B1446" s="3">
        <v>155.0</v>
      </c>
      <c r="C1446" s="3">
        <v>60.0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2" t="str">
        <f>IFERROR(__xludf.DUMMYFUNCTION("INDEX(SPLIT(A1446, ""/""), 0, 2)"),"regex")</f>
        <v>regex</v>
      </c>
      <c r="J1446" s="2" t="b">
        <f t="shared" si="1"/>
        <v>0</v>
      </c>
    </row>
    <row r="1447">
      <c r="A1447" s="1" t="s">
        <v>801</v>
      </c>
      <c r="B1447" s="3">
        <v>101.0</v>
      </c>
      <c r="C1447" s="3">
        <v>60.0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2" t="str">
        <f>IFERROR(__xludf.DUMMYFUNCTION("INDEX(SPLIT(A1447, ""/""), 0, 2)"),"regex")</f>
        <v>regex</v>
      </c>
      <c r="J1447" s="2" t="b">
        <f t="shared" si="1"/>
        <v>0</v>
      </c>
    </row>
    <row r="1448">
      <c r="A1448" s="1" t="s">
        <v>802</v>
      </c>
      <c r="B1448" s="3">
        <v>23.0</v>
      </c>
      <c r="C1448" s="3">
        <v>60.0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2" t="str">
        <f>IFERROR(__xludf.DUMMYFUNCTION("INDEX(SPLIT(A1448, ""/""), 0, 2)"),"regex")</f>
        <v>regex</v>
      </c>
      <c r="J1448" s="2" t="b">
        <f t="shared" si="1"/>
        <v>0</v>
      </c>
    </row>
    <row r="1449">
      <c r="A1449" s="1" t="s">
        <v>803</v>
      </c>
      <c r="B1449" s="3">
        <v>12.0</v>
      </c>
      <c r="C1449" s="3">
        <v>60.0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2" t="str">
        <f>IFERROR(__xludf.DUMMYFUNCTION("INDEX(SPLIT(A1449, ""/""), 0, 2)"),"regex")</f>
        <v>regex</v>
      </c>
      <c r="J1449" s="2" t="b">
        <f t="shared" si="1"/>
        <v>0</v>
      </c>
    </row>
    <row r="1450">
      <c r="A1450" s="1" t="s">
        <v>804</v>
      </c>
      <c r="B1450" s="3">
        <v>141.0</v>
      </c>
      <c r="C1450" s="3">
        <v>60.0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2" t="str">
        <f>IFERROR(__xludf.DUMMYFUNCTION("INDEX(SPLIT(A1450, ""/""), 0, 2)"),"regex")</f>
        <v>regex</v>
      </c>
      <c r="J1450" s="2" t="b">
        <f t="shared" si="1"/>
        <v>0</v>
      </c>
    </row>
    <row r="1451">
      <c r="A1451" s="1" t="s">
        <v>805</v>
      </c>
      <c r="B1451" s="3">
        <v>54.0</v>
      </c>
      <c r="C1451" s="3">
        <v>60.0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2" t="str">
        <f>IFERROR(__xludf.DUMMYFUNCTION("INDEX(SPLIT(A1451, ""/""), 0, 2)"),"regex")</f>
        <v>regex</v>
      </c>
      <c r="J1451" s="2" t="b">
        <f t="shared" si="1"/>
        <v>0</v>
      </c>
    </row>
    <row r="1452">
      <c r="A1452" s="1" t="s">
        <v>806</v>
      </c>
      <c r="B1452" s="3">
        <v>78.0</v>
      </c>
      <c r="C1452" s="3">
        <v>60.0</v>
      </c>
      <c r="D1452" s="3">
        <v>0.0</v>
      </c>
      <c r="E1452" s="3">
        <v>0.0</v>
      </c>
      <c r="F1452" s="3">
        <v>0.0</v>
      </c>
      <c r="G1452" s="3">
        <v>0.0</v>
      </c>
      <c r="H1452" s="3">
        <v>0.0</v>
      </c>
      <c r="I1452" s="2" t="str">
        <f>IFERROR(__xludf.DUMMYFUNCTION("INDEX(SPLIT(A1452, ""/""), 0, 2)"),"regex")</f>
        <v>regex</v>
      </c>
      <c r="J1452" s="2" t="b">
        <f t="shared" si="1"/>
        <v>0</v>
      </c>
    </row>
    <row r="1453">
      <c r="A1453" s="1" t="s">
        <v>807</v>
      </c>
      <c r="B1453" s="3">
        <v>25.0</v>
      </c>
      <c r="C1453" s="3">
        <v>60.0</v>
      </c>
      <c r="D1453" s="3">
        <v>0.0</v>
      </c>
      <c r="E1453" s="3">
        <v>0.0</v>
      </c>
      <c r="F1453" s="3">
        <v>0.0</v>
      </c>
      <c r="G1453" s="3">
        <v>0.0</v>
      </c>
      <c r="H1453" s="3">
        <v>0.0</v>
      </c>
      <c r="I1453" s="2" t="str">
        <f>IFERROR(__xludf.DUMMYFUNCTION("INDEX(SPLIT(A1453, ""/""), 0, 2)"),"regex")</f>
        <v>regex</v>
      </c>
      <c r="J1453" s="2" t="b">
        <f t="shared" si="1"/>
        <v>0</v>
      </c>
    </row>
    <row r="1454">
      <c r="A1454" s="1" t="s">
        <v>808</v>
      </c>
      <c r="B1454" s="3">
        <v>78.0</v>
      </c>
      <c r="C1454" s="3">
        <v>60.0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  <c r="I1454" s="2" t="str">
        <f>IFERROR(__xludf.DUMMYFUNCTION("INDEX(SPLIT(A1454, ""/""), 0, 2)"),"regex")</f>
        <v>regex</v>
      </c>
      <c r="J1454" s="2" t="b">
        <f t="shared" si="1"/>
        <v>0</v>
      </c>
    </row>
    <row r="1455">
      <c r="A1455" s="1" t="s">
        <v>809</v>
      </c>
      <c r="B1455" s="3">
        <v>36.0</v>
      </c>
      <c r="C1455" s="3">
        <v>60.0</v>
      </c>
      <c r="D1455" s="3">
        <v>0.0</v>
      </c>
      <c r="E1455" s="3">
        <v>0.0</v>
      </c>
      <c r="F1455" s="3">
        <v>0.0</v>
      </c>
      <c r="G1455" s="3">
        <v>0.0</v>
      </c>
      <c r="H1455" s="3">
        <v>0.0</v>
      </c>
      <c r="I1455" s="2" t="str">
        <f>IFERROR(__xludf.DUMMYFUNCTION("INDEX(SPLIT(A1455, ""/""), 0, 2)"),"regex")</f>
        <v>regex</v>
      </c>
      <c r="J1455" s="2" t="b">
        <f t="shared" si="1"/>
        <v>0</v>
      </c>
    </row>
    <row r="1456">
      <c r="A1456" s="1" t="s">
        <v>810</v>
      </c>
      <c r="B1456" s="3">
        <v>23.0</v>
      </c>
      <c r="C1456" s="3">
        <v>60.0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2" t="str">
        <f>IFERROR(__xludf.DUMMYFUNCTION("INDEX(SPLIT(A1456, ""/""), 0, 2)"),"regex")</f>
        <v>regex</v>
      </c>
      <c r="J1456" s="2" t="b">
        <f t="shared" si="1"/>
        <v>0</v>
      </c>
    </row>
    <row r="1457">
      <c r="A1457" s="1" t="s">
        <v>811</v>
      </c>
      <c r="B1457" s="3">
        <v>28.0</v>
      </c>
      <c r="C1457" s="3">
        <v>60.0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2" t="str">
        <f>IFERROR(__xludf.DUMMYFUNCTION("INDEX(SPLIT(A1457, ""/""), 0, 2)"),"regex")</f>
        <v>regex</v>
      </c>
      <c r="J1457" s="2" t="b">
        <f t="shared" si="1"/>
        <v>0</v>
      </c>
    </row>
    <row r="1458">
      <c r="A1458" s="1" t="s">
        <v>812</v>
      </c>
      <c r="B1458" s="3">
        <v>102.0</v>
      </c>
      <c r="C1458" s="3">
        <v>60.0</v>
      </c>
      <c r="D1458" s="3">
        <v>0.0</v>
      </c>
      <c r="E1458" s="3">
        <v>0.0</v>
      </c>
      <c r="F1458" s="3">
        <v>0.0</v>
      </c>
      <c r="G1458" s="3">
        <v>0.0</v>
      </c>
      <c r="H1458" s="3">
        <v>0.0</v>
      </c>
      <c r="I1458" s="2" t="str">
        <f>IFERROR(__xludf.DUMMYFUNCTION("INDEX(SPLIT(A1458, ""/""), 0, 2)"),"regex")</f>
        <v>regex</v>
      </c>
      <c r="J1458" s="2" t="b">
        <f t="shared" si="1"/>
        <v>0</v>
      </c>
    </row>
    <row r="1459">
      <c r="A1459" s="1" t="s">
        <v>813</v>
      </c>
      <c r="B1459" s="3">
        <v>105.0</v>
      </c>
      <c r="C1459" s="3">
        <v>60.0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2" t="str">
        <f>IFERROR(__xludf.DUMMYFUNCTION("INDEX(SPLIT(A1459, ""/""), 0, 2)"),"regex")</f>
        <v>regex</v>
      </c>
      <c r="J1459" s="2" t="b">
        <f t="shared" si="1"/>
        <v>0</v>
      </c>
    </row>
    <row r="1460">
      <c r="A1460" s="1" t="s">
        <v>814</v>
      </c>
      <c r="B1460" s="3">
        <v>692.0</v>
      </c>
      <c r="C1460" s="3">
        <v>60.0</v>
      </c>
      <c r="D1460" s="3">
        <v>6.0</v>
      </c>
      <c r="E1460" s="3">
        <v>0.0</v>
      </c>
      <c r="F1460" s="3">
        <v>0.0</v>
      </c>
      <c r="G1460" s="3">
        <v>1.0</v>
      </c>
      <c r="H1460" s="3">
        <v>0.0</v>
      </c>
      <c r="I1460" s="2" t="str">
        <f>IFERROR(__xludf.DUMMYFUNCTION("INDEX(SPLIT(A1460, ""/""), 0, 2)"),"regex")</f>
        <v>regex</v>
      </c>
      <c r="J1460" s="2" t="b">
        <f t="shared" si="1"/>
        <v>0</v>
      </c>
    </row>
    <row r="1461">
      <c r="A1461" s="1" t="s">
        <v>815</v>
      </c>
      <c r="B1461" s="3">
        <v>18.0</v>
      </c>
      <c r="C1461" s="3">
        <v>60.0</v>
      </c>
      <c r="D1461" s="3">
        <v>0.0</v>
      </c>
      <c r="E1461" s="3">
        <v>0.0</v>
      </c>
      <c r="F1461" s="3">
        <v>0.0</v>
      </c>
      <c r="G1461" s="3">
        <v>0.0</v>
      </c>
      <c r="H1461" s="3">
        <v>0.0</v>
      </c>
      <c r="I1461" s="2" t="str">
        <f>IFERROR(__xludf.DUMMYFUNCTION("INDEX(SPLIT(A1461, ""/""), 0, 2)"),"regex")</f>
        <v>regex</v>
      </c>
      <c r="J1461" s="2" t="b">
        <f t="shared" si="1"/>
        <v>0</v>
      </c>
    </row>
    <row r="1462">
      <c r="A1462" s="1" t="s">
        <v>816</v>
      </c>
      <c r="B1462" s="3">
        <v>4.0</v>
      </c>
      <c r="C1462" s="3">
        <v>60.0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2" t="str">
        <f>IFERROR(__xludf.DUMMYFUNCTION("INDEX(SPLIT(A1462, ""/""), 0, 2)"),"regex")</f>
        <v>regex</v>
      </c>
      <c r="J1462" s="2" t="b">
        <f t="shared" si="1"/>
        <v>0</v>
      </c>
    </row>
    <row r="1463">
      <c r="A1463" s="1" t="s">
        <v>817</v>
      </c>
      <c r="B1463" s="3">
        <v>18.0</v>
      </c>
      <c r="C1463" s="3">
        <v>60.0</v>
      </c>
      <c r="D1463" s="3">
        <v>0.0</v>
      </c>
      <c r="E1463" s="3">
        <v>0.0</v>
      </c>
      <c r="F1463" s="3">
        <v>0.0</v>
      </c>
      <c r="G1463" s="3">
        <v>0.0</v>
      </c>
      <c r="H1463" s="3">
        <v>0.0</v>
      </c>
      <c r="I1463" s="2" t="str">
        <f>IFERROR(__xludf.DUMMYFUNCTION("INDEX(SPLIT(A1463, ""/""), 0, 2)"),"regex")</f>
        <v>regex</v>
      </c>
      <c r="J1463" s="2" t="b">
        <f t="shared" si="1"/>
        <v>0</v>
      </c>
    </row>
    <row r="1464">
      <c r="A1464" s="1" t="s">
        <v>818</v>
      </c>
      <c r="B1464" s="3">
        <v>121.0</v>
      </c>
      <c r="C1464" s="3">
        <v>60.0</v>
      </c>
      <c r="D1464" s="3">
        <v>0.0</v>
      </c>
      <c r="E1464" s="3">
        <v>0.0</v>
      </c>
      <c r="F1464" s="3">
        <v>0.0</v>
      </c>
      <c r="G1464" s="3">
        <v>0.0</v>
      </c>
      <c r="H1464" s="3">
        <v>0.0</v>
      </c>
      <c r="I1464" s="2" t="str">
        <f>IFERROR(__xludf.DUMMYFUNCTION("INDEX(SPLIT(A1464, ""/""), 0, 2)"),"regex")</f>
        <v>regex</v>
      </c>
      <c r="J1464" s="2" t="b">
        <f t="shared" si="1"/>
        <v>0</v>
      </c>
    </row>
    <row r="1465">
      <c r="A1465" s="1" t="s">
        <v>819</v>
      </c>
      <c r="B1465" s="3">
        <v>15.0</v>
      </c>
      <c r="C1465" s="3">
        <v>60.0</v>
      </c>
      <c r="D1465" s="3">
        <v>0.0</v>
      </c>
      <c r="E1465" s="3">
        <v>0.0</v>
      </c>
      <c r="F1465" s="3">
        <v>0.0</v>
      </c>
      <c r="G1465" s="3">
        <v>0.0</v>
      </c>
      <c r="H1465" s="3">
        <v>0.0</v>
      </c>
      <c r="I1465" s="2" t="str">
        <f>IFERROR(__xludf.DUMMYFUNCTION("INDEX(SPLIT(A1465, ""/""), 0, 2)"),"regex")</f>
        <v>regex</v>
      </c>
      <c r="J1465" s="2" t="b">
        <f t="shared" si="1"/>
        <v>0</v>
      </c>
    </row>
    <row r="1466">
      <c r="A1466" s="1" t="s">
        <v>820</v>
      </c>
      <c r="B1466" s="3">
        <v>38.0</v>
      </c>
      <c r="C1466" s="3">
        <v>60.0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2" t="str">
        <f>IFERROR(__xludf.DUMMYFUNCTION("INDEX(SPLIT(A1466, ""/""), 0, 2)"),"regex")</f>
        <v>regex</v>
      </c>
      <c r="J1466" s="2" t="b">
        <f t="shared" si="1"/>
        <v>0</v>
      </c>
    </row>
    <row r="1467">
      <c r="A1467" s="1" t="s">
        <v>821</v>
      </c>
      <c r="B1467" s="3">
        <v>112.0</v>
      </c>
      <c r="C1467" s="3">
        <v>60.0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2" t="str">
        <f>IFERROR(__xludf.DUMMYFUNCTION("INDEX(SPLIT(A1467, ""/""), 0, 2)"),"regex")</f>
        <v>regex</v>
      </c>
      <c r="J1467" s="2" t="b">
        <f t="shared" si="1"/>
        <v>0</v>
      </c>
    </row>
    <row r="1468">
      <c r="A1468" s="1" t="s">
        <v>822</v>
      </c>
      <c r="B1468" s="3">
        <v>123.0</v>
      </c>
      <c r="C1468" s="3">
        <v>60.0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2" t="str">
        <f>IFERROR(__xludf.DUMMYFUNCTION("INDEX(SPLIT(A1468, ""/""), 0, 2)"),"regex")</f>
        <v>regex</v>
      </c>
      <c r="J1468" s="2" t="b">
        <f t="shared" si="1"/>
        <v>0</v>
      </c>
    </row>
    <row r="1469">
      <c r="A1469" s="1" t="s">
        <v>823</v>
      </c>
      <c r="B1469" s="3">
        <v>41.0</v>
      </c>
      <c r="C1469" s="3">
        <v>60.0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2" t="str">
        <f>IFERROR(__xludf.DUMMYFUNCTION("INDEX(SPLIT(A1469, ""/""), 0, 2)"),"regex")</f>
        <v>regex</v>
      </c>
      <c r="J1469" s="2" t="b">
        <f t="shared" si="1"/>
        <v>0</v>
      </c>
    </row>
    <row r="1470">
      <c r="A1470" s="1" t="s">
        <v>824</v>
      </c>
      <c r="B1470" s="3">
        <v>95.0</v>
      </c>
      <c r="C1470" s="3">
        <v>60.0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2" t="str">
        <f>IFERROR(__xludf.DUMMYFUNCTION("INDEX(SPLIT(A1470, ""/""), 0, 2)"),"regex")</f>
        <v>regex</v>
      </c>
      <c r="J1470" s="2" t="b">
        <f t="shared" si="1"/>
        <v>0</v>
      </c>
    </row>
    <row r="1471">
      <c r="A1471" s="1" t="s">
        <v>825</v>
      </c>
      <c r="B1471" s="3">
        <v>12.0</v>
      </c>
      <c r="C1471" s="3">
        <v>60.0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2" t="str">
        <f>IFERROR(__xludf.DUMMYFUNCTION("INDEX(SPLIT(A1471, ""/""), 0, 2)"),"regex")</f>
        <v>regex</v>
      </c>
      <c r="J1471" s="2" t="b">
        <f t="shared" si="1"/>
        <v>0</v>
      </c>
    </row>
    <row r="1472">
      <c r="A1472" s="1" t="s">
        <v>826</v>
      </c>
      <c r="B1472" s="3">
        <v>42.0</v>
      </c>
      <c r="C1472" s="3">
        <v>60.0</v>
      </c>
      <c r="D1472" s="3">
        <v>0.0</v>
      </c>
      <c r="E1472" s="3">
        <v>0.0</v>
      </c>
      <c r="F1472" s="3">
        <v>0.0</v>
      </c>
      <c r="G1472" s="3">
        <v>0.0</v>
      </c>
      <c r="H1472" s="3">
        <v>0.0</v>
      </c>
      <c r="I1472" s="2" t="str">
        <f>IFERROR(__xludf.DUMMYFUNCTION("INDEX(SPLIT(A1472, ""/""), 0, 2)"),"regex")</f>
        <v>regex</v>
      </c>
      <c r="J1472" s="2" t="b">
        <f t="shared" si="1"/>
        <v>0</v>
      </c>
    </row>
    <row r="1473">
      <c r="A1473" s="1" t="s">
        <v>827</v>
      </c>
      <c r="B1473" s="3">
        <v>103.0</v>
      </c>
      <c r="C1473" s="3">
        <v>60.0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2" t="str">
        <f>IFERROR(__xludf.DUMMYFUNCTION("INDEX(SPLIT(A1473, ""/""), 0, 2)"),"regex")</f>
        <v>regex</v>
      </c>
      <c r="J1473" s="2" t="b">
        <f t="shared" si="1"/>
        <v>0</v>
      </c>
    </row>
    <row r="1474">
      <c r="A1474" s="1" t="s">
        <v>828</v>
      </c>
      <c r="B1474" s="3">
        <v>257.0</v>
      </c>
      <c r="C1474" s="3">
        <v>60.0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2" t="str">
        <f>IFERROR(__xludf.DUMMYFUNCTION("INDEX(SPLIT(A1474, ""/""), 0, 2)"),"regex")</f>
        <v>regex</v>
      </c>
      <c r="J1474" s="2" t="b">
        <f t="shared" si="1"/>
        <v>0</v>
      </c>
    </row>
    <row r="1475">
      <c r="A1475" s="1" t="s">
        <v>829</v>
      </c>
      <c r="B1475" s="3">
        <v>99.0</v>
      </c>
      <c r="C1475" s="3">
        <v>60.0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2" t="str">
        <f>IFERROR(__xludf.DUMMYFUNCTION("INDEX(SPLIT(A1475, ""/""), 0, 2)"),"regex")</f>
        <v>regex</v>
      </c>
      <c r="J1475" s="2" t="b">
        <f t="shared" si="1"/>
        <v>0</v>
      </c>
    </row>
    <row r="1476">
      <c r="A1476" s="1" t="s">
        <v>830</v>
      </c>
      <c r="B1476" s="3">
        <v>13.0</v>
      </c>
      <c r="C1476" s="3">
        <v>60.0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2" t="str">
        <f>IFERROR(__xludf.DUMMYFUNCTION("INDEX(SPLIT(A1476, ""/""), 0, 2)"),"regex")</f>
        <v>regex</v>
      </c>
      <c r="J1476" s="2" t="b">
        <f t="shared" si="1"/>
        <v>0</v>
      </c>
    </row>
    <row r="1477">
      <c r="A1477" s="1" t="s">
        <v>831</v>
      </c>
      <c r="B1477" s="3">
        <v>155.0</v>
      </c>
      <c r="C1477" s="3">
        <v>60.0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2" t="str">
        <f>IFERROR(__xludf.DUMMYFUNCTION("INDEX(SPLIT(A1477, ""/""), 0, 2)"),"regex")</f>
        <v>regex</v>
      </c>
      <c r="J1477" s="2" t="b">
        <f t="shared" si="1"/>
        <v>0</v>
      </c>
    </row>
    <row r="1478">
      <c r="A1478" s="1" t="s">
        <v>832</v>
      </c>
      <c r="B1478" s="3">
        <v>87.0</v>
      </c>
      <c r="C1478" s="3">
        <v>60.0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2" t="str">
        <f>IFERROR(__xludf.DUMMYFUNCTION("INDEX(SPLIT(A1478, ""/""), 0, 2)"),"regex")</f>
        <v>regex</v>
      </c>
      <c r="J1478" s="2" t="b">
        <f t="shared" si="1"/>
        <v>0</v>
      </c>
    </row>
    <row r="1479">
      <c r="A1479" s="1" t="s">
        <v>833</v>
      </c>
      <c r="B1479" s="3">
        <v>26.0</v>
      </c>
      <c r="C1479" s="3">
        <v>60.0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2" t="str">
        <f>IFERROR(__xludf.DUMMYFUNCTION("INDEX(SPLIT(A1479, ""/""), 0, 2)"),"regex")</f>
        <v>regex</v>
      </c>
      <c r="J1479" s="2" t="b">
        <f t="shared" si="1"/>
        <v>0</v>
      </c>
    </row>
    <row r="1480">
      <c r="A1480" s="1" t="s">
        <v>834</v>
      </c>
      <c r="B1480" s="3">
        <v>32.0</v>
      </c>
      <c r="C1480" s="3">
        <v>60.0</v>
      </c>
      <c r="D1480" s="3">
        <v>0.0</v>
      </c>
      <c r="E1480" s="3">
        <v>0.0</v>
      </c>
      <c r="F1480" s="3">
        <v>0.0</v>
      </c>
      <c r="G1480" s="3">
        <v>0.0</v>
      </c>
      <c r="H1480" s="3">
        <v>0.0</v>
      </c>
      <c r="I1480" s="2" t="str">
        <f>IFERROR(__xludf.DUMMYFUNCTION("INDEX(SPLIT(A1480, ""/""), 0, 2)"),"regex")</f>
        <v>regex</v>
      </c>
      <c r="J1480" s="2" t="b">
        <f t="shared" si="1"/>
        <v>0</v>
      </c>
    </row>
    <row r="1481">
      <c r="A1481" s="1" t="s">
        <v>835</v>
      </c>
      <c r="B1481" s="3">
        <v>79.0</v>
      </c>
      <c r="C1481" s="3">
        <v>60.0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2" t="str">
        <f>IFERROR(__xludf.DUMMYFUNCTION("INDEX(SPLIT(A1481, ""/""), 0, 2)"),"regex")</f>
        <v>regex</v>
      </c>
      <c r="J1481" s="2" t="b">
        <f t="shared" si="1"/>
        <v>0</v>
      </c>
    </row>
    <row r="1482">
      <c r="A1482" s="1" t="s">
        <v>836</v>
      </c>
      <c r="B1482" s="3">
        <v>66513.0</v>
      </c>
      <c r="C1482" s="3">
        <v>60.0</v>
      </c>
      <c r="D1482" s="3">
        <v>1569.0</v>
      </c>
      <c r="E1482" s="3">
        <v>20.0</v>
      </c>
      <c r="F1482" s="3">
        <v>1793.0</v>
      </c>
      <c r="G1482" s="3">
        <v>24.0</v>
      </c>
      <c r="H1482" s="3">
        <v>18.0</v>
      </c>
      <c r="I1482" s="2" t="str">
        <f>IFERROR(__xludf.DUMMYFUNCTION("INDEX(SPLIT(A1482, ""/""), 0, 2)"),"regex")</f>
        <v>regex</v>
      </c>
      <c r="J1482" s="2" t="b">
        <f t="shared" si="1"/>
        <v>1</v>
      </c>
    </row>
    <row r="1483">
      <c r="A1483" s="1" t="s">
        <v>837</v>
      </c>
      <c r="B1483" s="3">
        <v>33.0</v>
      </c>
      <c r="C1483" s="3">
        <v>60.0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2" t="str">
        <f>IFERROR(__xludf.DUMMYFUNCTION("INDEX(SPLIT(A1483, ""/""), 0, 2)"),"regex")</f>
        <v>regex</v>
      </c>
      <c r="J1483" s="2" t="b">
        <f t="shared" si="1"/>
        <v>0</v>
      </c>
    </row>
    <row r="1484">
      <c r="A1484" s="1" t="s">
        <v>838</v>
      </c>
      <c r="B1484" s="3">
        <v>115.0</v>
      </c>
      <c r="C1484" s="3">
        <v>60.0</v>
      </c>
      <c r="D1484" s="3">
        <v>0.0</v>
      </c>
      <c r="E1484" s="3">
        <v>0.0</v>
      </c>
      <c r="F1484" s="3">
        <v>0.0</v>
      </c>
      <c r="G1484" s="3">
        <v>0.0</v>
      </c>
      <c r="H1484" s="3">
        <v>0.0</v>
      </c>
      <c r="I1484" s="2" t="str">
        <f>IFERROR(__xludf.DUMMYFUNCTION("INDEX(SPLIT(A1484, ""/""), 0, 2)"),"regex")</f>
        <v>regex</v>
      </c>
      <c r="J1484" s="2" t="b">
        <f t="shared" si="1"/>
        <v>0</v>
      </c>
    </row>
    <row r="1485">
      <c r="A1485" s="1" t="s">
        <v>839</v>
      </c>
      <c r="B1485" s="3">
        <v>1128.0</v>
      </c>
      <c r="C1485" s="3">
        <v>60.0</v>
      </c>
      <c r="D1485" s="3">
        <v>1.0</v>
      </c>
      <c r="E1485" s="3">
        <v>0.0</v>
      </c>
      <c r="F1485" s="3">
        <v>0.0</v>
      </c>
      <c r="G1485" s="3">
        <v>0.0</v>
      </c>
      <c r="H1485" s="3">
        <v>0.0</v>
      </c>
      <c r="I1485" s="2" t="str">
        <f>IFERROR(__xludf.DUMMYFUNCTION("INDEX(SPLIT(A1485, ""/""), 0, 2)"),"regex")</f>
        <v>regex</v>
      </c>
      <c r="J1485" s="2" t="b">
        <f t="shared" si="1"/>
        <v>0</v>
      </c>
    </row>
    <row r="1486">
      <c r="A1486" s="1" t="s">
        <v>840</v>
      </c>
      <c r="B1486" s="3">
        <v>17.0</v>
      </c>
      <c r="C1486" s="3">
        <v>60.0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2" t="str">
        <f>IFERROR(__xludf.DUMMYFUNCTION("INDEX(SPLIT(A1486, ""/""), 0, 2)"),"regex")</f>
        <v>regex</v>
      </c>
      <c r="J1486" s="2" t="b">
        <f t="shared" si="1"/>
        <v>0</v>
      </c>
    </row>
    <row r="1487">
      <c r="A1487" s="1" t="s">
        <v>841</v>
      </c>
      <c r="B1487" s="3">
        <v>21.0</v>
      </c>
      <c r="C1487" s="3">
        <v>60.0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2" t="str">
        <f>IFERROR(__xludf.DUMMYFUNCTION("INDEX(SPLIT(A1487, ""/""), 0, 2)"),"regex")</f>
        <v>regex</v>
      </c>
      <c r="J1487" s="2" t="b">
        <f t="shared" si="1"/>
        <v>0</v>
      </c>
    </row>
    <row r="1488">
      <c r="A1488" s="1" t="s">
        <v>842</v>
      </c>
      <c r="B1488" s="3">
        <v>71.0</v>
      </c>
      <c r="C1488" s="3">
        <v>60.0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2" t="str">
        <f>IFERROR(__xludf.DUMMYFUNCTION("INDEX(SPLIT(A1488, ""/""), 0, 2)"),"regex")</f>
        <v>regex</v>
      </c>
      <c r="J1488" s="2" t="b">
        <f t="shared" si="1"/>
        <v>0</v>
      </c>
    </row>
    <row r="1489">
      <c r="A1489" s="1" t="s">
        <v>843</v>
      </c>
      <c r="B1489" s="3">
        <v>51.0</v>
      </c>
      <c r="C1489" s="3">
        <v>60.0</v>
      </c>
      <c r="D1489" s="3">
        <v>0.0</v>
      </c>
      <c r="E1489" s="3">
        <v>0.0</v>
      </c>
      <c r="F1489" s="3">
        <v>0.0</v>
      </c>
      <c r="G1489" s="3">
        <v>0.0</v>
      </c>
      <c r="H1489" s="3">
        <v>0.0</v>
      </c>
      <c r="I1489" s="2" t="str">
        <f>IFERROR(__xludf.DUMMYFUNCTION("INDEX(SPLIT(A1489, ""/""), 0, 2)"),"regex")</f>
        <v>regex</v>
      </c>
      <c r="J1489" s="2" t="b">
        <f t="shared" si="1"/>
        <v>0</v>
      </c>
    </row>
    <row r="1490">
      <c r="A1490" s="1" t="s">
        <v>844</v>
      </c>
      <c r="B1490" s="3">
        <v>19.0</v>
      </c>
      <c r="C1490" s="3">
        <v>60.0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2" t="str">
        <f>IFERROR(__xludf.DUMMYFUNCTION("INDEX(SPLIT(A1490, ""/""), 0, 2)"),"regex")</f>
        <v>regex</v>
      </c>
      <c r="J1490" s="2" t="b">
        <f t="shared" si="1"/>
        <v>0</v>
      </c>
    </row>
    <row r="1491">
      <c r="A1491" s="1" t="s">
        <v>845</v>
      </c>
      <c r="B1491" s="3">
        <v>46.0</v>
      </c>
      <c r="C1491" s="3">
        <v>60.0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2" t="str">
        <f>IFERROR(__xludf.DUMMYFUNCTION("INDEX(SPLIT(A1491, ""/""), 0, 2)"),"regex")</f>
        <v>regex</v>
      </c>
      <c r="J1491" s="2" t="b">
        <f t="shared" si="1"/>
        <v>0</v>
      </c>
    </row>
    <row r="1492">
      <c r="A1492" s="1" t="s">
        <v>846</v>
      </c>
      <c r="B1492" s="3">
        <v>195.0</v>
      </c>
      <c r="C1492" s="3">
        <v>60.0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2" t="str">
        <f>IFERROR(__xludf.DUMMYFUNCTION("INDEX(SPLIT(A1492, ""/""), 0, 2)"),"regex")</f>
        <v>regex</v>
      </c>
      <c r="J1492" s="2" t="b">
        <f t="shared" si="1"/>
        <v>0</v>
      </c>
    </row>
    <row r="1493">
      <c r="A1493" s="1" t="s">
        <v>847</v>
      </c>
      <c r="B1493" s="3">
        <v>30.0</v>
      </c>
      <c r="C1493" s="3">
        <v>60.0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2" t="str">
        <f>IFERROR(__xludf.DUMMYFUNCTION("INDEX(SPLIT(A1493, ""/""), 0, 2)"),"regex")</f>
        <v>regex</v>
      </c>
      <c r="J1493" s="2" t="b">
        <f t="shared" si="1"/>
        <v>0</v>
      </c>
    </row>
    <row r="1494">
      <c r="A1494" s="1" t="s">
        <v>848</v>
      </c>
      <c r="B1494" s="3">
        <v>155.0</v>
      </c>
      <c r="C1494" s="3">
        <v>60.0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0.0</v>
      </c>
      <c r="I1494" s="2" t="str">
        <f>IFERROR(__xludf.DUMMYFUNCTION("INDEX(SPLIT(A1494, ""/""), 0, 2)"),"regex")</f>
        <v>regex</v>
      </c>
      <c r="J1494" s="2" t="b">
        <f t="shared" si="1"/>
        <v>0</v>
      </c>
    </row>
    <row r="1495">
      <c r="A1495" s="1" t="s">
        <v>849</v>
      </c>
      <c r="B1495" s="3">
        <v>33.0</v>
      </c>
      <c r="C1495" s="3">
        <v>60.0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2" t="str">
        <f>IFERROR(__xludf.DUMMYFUNCTION("INDEX(SPLIT(A1495, ""/""), 0, 2)"),"regex")</f>
        <v>regex</v>
      </c>
      <c r="J1495" s="2" t="b">
        <f t="shared" si="1"/>
        <v>0</v>
      </c>
    </row>
    <row r="1496">
      <c r="A1496" s="1" t="s">
        <v>850</v>
      </c>
      <c r="B1496" s="3">
        <v>61.0</v>
      </c>
      <c r="C1496" s="3">
        <v>60.0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2" t="str">
        <f>IFERROR(__xludf.DUMMYFUNCTION("INDEX(SPLIT(A1496, ""/""), 0, 2)"),"regex")</f>
        <v>regex</v>
      </c>
      <c r="J1496" s="2" t="b">
        <f t="shared" si="1"/>
        <v>0</v>
      </c>
    </row>
    <row r="1497">
      <c r="A1497" s="1" t="s">
        <v>851</v>
      </c>
      <c r="B1497" s="3">
        <v>46.0</v>
      </c>
      <c r="C1497" s="3">
        <v>60.0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2" t="str">
        <f>IFERROR(__xludf.DUMMYFUNCTION("INDEX(SPLIT(A1497, ""/""), 0, 2)"),"regex")</f>
        <v>regex</v>
      </c>
      <c r="J1497" s="2" t="b">
        <f t="shared" si="1"/>
        <v>0</v>
      </c>
    </row>
    <row r="1498">
      <c r="A1498" s="1" t="s">
        <v>852</v>
      </c>
      <c r="B1498" s="3">
        <v>20.0</v>
      </c>
      <c r="C1498" s="3">
        <v>60.0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2" t="str">
        <f>IFERROR(__xludf.DUMMYFUNCTION("INDEX(SPLIT(A1498, ""/""), 0, 2)"),"regex")</f>
        <v>regex</v>
      </c>
      <c r="J1498" s="2" t="b">
        <f t="shared" si="1"/>
        <v>0</v>
      </c>
    </row>
    <row r="1499">
      <c r="A1499" s="1" t="s">
        <v>853</v>
      </c>
      <c r="B1499" s="3">
        <v>17.0</v>
      </c>
      <c r="C1499" s="3">
        <v>60.0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2" t="str">
        <f>IFERROR(__xludf.DUMMYFUNCTION("INDEX(SPLIT(A1499, ""/""), 0, 2)"),"regex")</f>
        <v>regex</v>
      </c>
      <c r="J1499" s="2" t="b">
        <f t="shared" si="1"/>
        <v>0</v>
      </c>
    </row>
    <row r="1500">
      <c r="A1500" s="1" t="s">
        <v>854</v>
      </c>
      <c r="B1500" s="3">
        <v>54.0</v>
      </c>
      <c r="C1500" s="3">
        <v>60.0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2" t="str">
        <f>IFERROR(__xludf.DUMMYFUNCTION("INDEX(SPLIT(A1500, ""/""), 0, 2)"),"regex")</f>
        <v>regex</v>
      </c>
      <c r="J1500" s="2" t="b">
        <f t="shared" si="1"/>
        <v>0</v>
      </c>
    </row>
    <row r="1501">
      <c r="A1501" s="1" t="s">
        <v>855</v>
      </c>
      <c r="B1501" s="3">
        <v>13.0</v>
      </c>
      <c r="C1501" s="3">
        <v>60.0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2" t="str">
        <f>IFERROR(__xludf.DUMMYFUNCTION("INDEX(SPLIT(A1501, ""/""), 0, 2)"),"regex")</f>
        <v>regex</v>
      </c>
      <c r="J1501" s="2" t="b">
        <f t="shared" si="1"/>
        <v>0</v>
      </c>
    </row>
    <row r="1502">
      <c r="A1502" s="1" t="s">
        <v>856</v>
      </c>
      <c r="B1502" s="3">
        <v>40.0</v>
      </c>
      <c r="C1502" s="3">
        <v>60.0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2" t="str">
        <f>IFERROR(__xludf.DUMMYFUNCTION("INDEX(SPLIT(A1502, ""/""), 0, 2)"),"regex")</f>
        <v>regex</v>
      </c>
      <c r="J1502" s="2" t="b">
        <f t="shared" si="1"/>
        <v>0</v>
      </c>
    </row>
    <row r="1503">
      <c r="A1503" s="1" t="s">
        <v>857</v>
      </c>
      <c r="B1503" s="3">
        <v>14.0</v>
      </c>
      <c r="C1503" s="3">
        <v>60.0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2" t="str">
        <f>IFERROR(__xludf.DUMMYFUNCTION("INDEX(SPLIT(A1503, ""/""), 0, 2)"),"regex")</f>
        <v>regex</v>
      </c>
      <c r="J1503" s="2" t="b">
        <f t="shared" si="1"/>
        <v>0</v>
      </c>
    </row>
    <row r="1504">
      <c r="A1504" s="1" t="s">
        <v>858</v>
      </c>
      <c r="B1504" s="3">
        <v>65.0</v>
      </c>
      <c r="C1504" s="3">
        <v>60.0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2" t="str">
        <f>IFERROR(__xludf.DUMMYFUNCTION("INDEX(SPLIT(A1504, ""/""), 0, 2)"),"regex")</f>
        <v>regex</v>
      </c>
      <c r="J1504" s="2" t="b">
        <f t="shared" si="1"/>
        <v>0</v>
      </c>
    </row>
    <row r="1505">
      <c r="A1505" s="1" t="s">
        <v>859</v>
      </c>
      <c r="B1505" s="3">
        <v>18.0</v>
      </c>
      <c r="C1505" s="3">
        <v>60.0</v>
      </c>
      <c r="D1505" s="3">
        <v>0.0</v>
      </c>
      <c r="E1505" s="3">
        <v>0.0</v>
      </c>
      <c r="F1505" s="3">
        <v>0.0</v>
      </c>
      <c r="G1505" s="3">
        <v>0.0</v>
      </c>
      <c r="H1505" s="3">
        <v>0.0</v>
      </c>
      <c r="I1505" s="2" t="str">
        <f>IFERROR(__xludf.DUMMYFUNCTION("INDEX(SPLIT(A1505, ""/""), 0, 2)"),"regex")</f>
        <v>regex</v>
      </c>
      <c r="J1505" s="2" t="b">
        <f t="shared" si="1"/>
        <v>0</v>
      </c>
    </row>
    <row r="1506">
      <c r="A1506" s="1" t="s">
        <v>860</v>
      </c>
      <c r="B1506" s="3">
        <v>128.0</v>
      </c>
      <c r="C1506" s="3">
        <v>60.0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2" t="str">
        <f>IFERROR(__xludf.DUMMYFUNCTION("INDEX(SPLIT(A1506, ""/""), 0, 2)"),"regex")</f>
        <v>regex</v>
      </c>
      <c r="J1506" s="2" t="b">
        <f t="shared" si="1"/>
        <v>0</v>
      </c>
    </row>
    <row r="1507">
      <c r="A1507" s="1" t="s">
        <v>861</v>
      </c>
      <c r="B1507" s="3">
        <v>54.0</v>
      </c>
      <c r="C1507" s="3">
        <v>60.0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2" t="str">
        <f>IFERROR(__xludf.DUMMYFUNCTION("INDEX(SPLIT(A1507, ""/""), 0, 2)"),"regex")</f>
        <v>regex</v>
      </c>
      <c r="J1507" s="2" t="b">
        <f t="shared" si="1"/>
        <v>0</v>
      </c>
    </row>
    <row r="1508">
      <c r="A1508" s="1" t="s">
        <v>862</v>
      </c>
      <c r="B1508" s="3">
        <v>67.0</v>
      </c>
      <c r="C1508" s="3">
        <v>60.0</v>
      </c>
      <c r="D1508" s="3">
        <v>0.0</v>
      </c>
      <c r="E1508" s="3">
        <v>0.0</v>
      </c>
      <c r="F1508" s="3">
        <v>0.0</v>
      </c>
      <c r="G1508" s="3">
        <v>0.0</v>
      </c>
      <c r="H1508" s="3">
        <v>0.0</v>
      </c>
      <c r="I1508" s="2" t="str">
        <f>IFERROR(__xludf.DUMMYFUNCTION("INDEX(SPLIT(A1508, ""/""), 0, 2)"),"regex")</f>
        <v>regex</v>
      </c>
      <c r="J1508" s="2" t="b">
        <f t="shared" si="1"/>
        <v>0</v>
      </c>
    </row>
    <row r="1509">
      <c r="A1509" s="1" t="s">
        <v>863</v>
      </c>
      <c r="B1509" s="3">
        <v>22.0</v>
      </c>
      <c r="C1509" s="3">
        <v>60.0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2" t="str">
        <f>IFERROR(__xludf.DUMMYFUNCTION("INDEX(SPLIT(A1509, ""/""), 0, 2)"),"regex")</f>
        <v>regex</v>
      </c>
      <c r="J1509" s="2" t="b">
        <f t="shared" si="1"/>
        <v>0</v>
      </c>
    </row>
    <row r="1510">
      <c r="A1510" s="1" t="s">
        <v>864</v>
      </c>
      <c r="B1510" s="3">
        <v>151.0</v>
      </c>
      <c r="C1510" s="3">
        <v>60.0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2" t="str">
        <f>IFERROR(__xludf.DUMMYFUNCTION("INDEX(SPLIT(A1510, ""/""), 0, 2)"),"regex")</f>
        <v>regex</v>
      </c>
      <c r="J1510" s="2" t="b">
        <f t="shared" si="1"/>
        <v>0</v>
      </c>
    </row>
    <row r="1511">
      <c r="A1511" s="1" t="s">
        <v>865</v>
      </c>
      <c r="B1511" s="3">
        <v>118.0</v>
      </c>
      <c r="C1511" s="3">
        <v>60.0</v>
      </c>
      <c r="D1511" s="3">
        <v>0.0</v>
      </c>
      <c r="E1511" s="3">
        <v>0.0</v>
      </c>
      <c r="F1511" s="3">
        <v>0.0</v>
      </c>
      <c r="G1511" s="3">
        <v>0.0</v>
      </c>
      <c r="H1511" s="3">
        <v>0.0</v>
      </c>
      <c r="I1511" s="2" t="str">
        <f>IFERROR(__xludf.DUMMYFUNCTION("INDEX(SPLIT(A1511, ""/""), 0, 2)"),"regex")</f>
        <v>regex</v>
      </c>
      <c r="J1511" s="2" t="b">
        <f t="shared" si="1"/>
        <v>0</v>
      </c>
    </row>
    <row r="1512">
      <c r="A1512" s="1" t="s">
        <v>866</v>
      </c>
      <c r="B1512" s="3">
        <v>24.0</v>
      </c>
      <c r="C1512" s="3">
        <v>60.0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2" t="str">
        <f>IFERROR(__xludf.DUMMYFUNCTION("INDEX(SPLIT(A1512, ""/""), 0, 2)"),"regex")</f>
        <v>regex</v>
      </c>
      <c r="J1512" s="2" t="b">
        <f t="shared" si="1"/>
        <v>0</v>
      </c>
    </row>
    <row r="1513">
      <c r="A1513" s="1" t="s">
        <v>867</v>
      </c>
      <c r="B1513" s="3">
        <v>42.0</v>
      </c>
      <c r="C1513" s="3">
        <v>60.0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2" t="str">
        <f>IFERROR(__xludf.DUMMYFUNCTION("INDEX(SPLIT(A1513, ""/""), 0, 2)"),"regex")</f>
        <v>regex</v>
      </c>
      <c r="J1513" s="2" t="b">
        <f t="shared" si="1"/>
        <v>0</v>
      </c>
    </row>
    <row r="1514">
      <c r="A1514" s="1" t="s">
        <v>868</v>
      </c>
      <c r="B1514" s="3">
        <v>36.0</v>
      </c>
      <c r="C1514" s="3">
        <v>60.0</v>
      </c>
      <c r="D1514" s="3">
        <v>0.0</v>
      </c>
      <c r="E1514" s="3">
        <v>0.0</v>
      </c>
      <c r="F1514" s="3">
        <v>0.0</v>
      </c>
      <c r="G1514" s="3">
        <v>0.0</v>
      </c>
      <c r="H1514" s="3">
        <v>0.0</v>
      </c>
      <c r="I1514" s="2" t="str">
        <f>IFERROR(__xludf.DUMMYFUNCTION("INDEX(SPLIT(A1514, ""/""), 0, 2)"),"regex")</f>
        <v>regex</v>
      </c>
      <c r="J1514" s="2" t="b">
        <f t="shared" si="1"/>
        <v>0</v>
      </c>
    </row>
    <row r="1515">
      <c r="A1515" s="1" t="s">
        <v>869</v>
      </c>
      <c r="B1515" s="3">
        <v>65.0</v>
      </c>
      <c r="C1515" s="3">
        <v>60.0</v>
      </c>
      <c r="D1515" s="3">
        <v>0.0</v>
      </c>
      <c r="E1515" s="3">
        <v>0.0</v>
      </c>
      <c r="F1515" s="3">
        <v>0.0</v>
      </c>
      <c r="G1515" s="3">
        <v>0.0</v>
      </c>
      <c r="H1515" s="3">
        <v>0.0</v>
      </c>
      <c r="I1515" s="2" t="str">
        <f>IFERROR(__xludf.DUMMYFUNCTION("INDEX(SPLIT(A1515, ""/""), 0, 2)"),"regex")</f>
        <v>regex</v>
      </c>
      <c r="J1515" s="2" t="b">
        <f t="shared" si="1"/>
        <v>0</v>
      </c>
    </row>
    <row r="1516">
      <c r="A1516" s="1" t="s">
        <v>870</v>
      </c>
      <c r="B1516" s="3">
        <v>20.0</v>
      </c>
      <c r="C1516" s="3">
        <v>60.0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2" t="str">
        <f>IFERROR(__xludf.DUMMYFUNCTION("INDEX(SPLIT(A1516, ""/""), 0, 2)"),"regex")</f>
        <v>regex</v>
      </c>
      <c r="J1516" s="2" t="b">
        <f t="shared" si="1"/>
        <v>0</v>
      </c>
    </row>
    <row r="1517">
      <c r="A1517" s="1" t="s">
        <v>871</v>
      </c>
      <c r="B1517" s="3">
        <v>22.0</v>
      </c>
      <c r="C1517" s="3">
        <v>60.0</v>
      </c>
      <c r="D1517" s="3">
        <v>0.0</v>
      </c>
      <c r="E1517" s="3">
        <v>0.0</v>
      </c>
      <c r="F1517" s="3">
        <v>0.0</v>
      </c>
      <c r="G1517" s="3">
        <v>0.0</v>
      </c>
      <c r="H1517" s="3">
        <v>0.0</v>
      </c>
      <c r="I1517" s="2" t="str">
        <f>IFERROR(__xludf.DUMMYFUNCTION("INDEX(SPLIT(A1517, ""/""), 0, 2)"),"regex")</f>
        <v>regex</v>
      </c>
      <c r="J1517" s="2" t="b">
        <f t="shared" si="1"/>
        <v>0</v>
      </c>
    </row>
    <row r="1518">
      <c r="A1518" s="1" t="s">
        <v>872</v>
      </c>
      <c r="B1518" s="3">
        <v>32.0</v>
      </c>
      <c r="C1518" s="3">
        <v>60.0</v>
      </c>
      <c r="D1518" s="3">
        <v>0.0</v>
      </c>
      <c r="E1518" s="3">
        <v>0.0</v>
      </c>
      <c r="F1518" s="3">
        <v>0.0</v>
      </c>
      <c r="G1518" s="3">
        <v>0.0</v>
      </c>
      <c r="H1518" s="3">
        <v>0.0</v>
      </c>
      <c r="I1518" s="2" t="str">
        <f>IFERROR(__xludf.DUMMYFUNCTION("INDEX(SPLIT(A1518, ""/""), 0, 2)"),"regex")</f>
        <v>regex</v>
      </c>
      <c r="J1518" s="2" t="b">
        <f t="shared" si="1"/>
        <v>0</v>
      </c>
    </row>
    <row r="1519">
      <c r="A1519" s="1" t="s">
        <v>873</v>
      </c>
      <c r="B1519" s="3">
        <v>17.0</v>
      </c>
      <c r="C1519" s="3">
        <v>60.0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2" t="str">
        <f>IFERROR(__xludf.DUMMYFUNCTION("INDEX(SPLIT(A1519, ""/""), 0, 2)"),"regex")</f>
        <v>regex</v>
      </c>
      <c r="J1519" s="2" t="b">
        <f t="shared" si="1"/>
        <v>0</v>
      </c>
    </row>
    <row r="1520">
      <c r="A1520" s="1" t="s">
        <v>874</v>
      </c>
      <c r="B1520" s="3">
        <v>14.0</v>
      </c>
      <c r="C1520" s="3">
        <v>60.0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2" t="str">
        <f>IFERROR(__xludf.DUMMYFUNCTION("INDEX(SPLIT(A1520, ""/""), 0, 2)"),"regex")</f>
        <v>regex</v>
      </c>
      <c r="J1520" s="2" t="b">
        <f t="shared" si="1"/>
        <v>0</v>
      </c>
    </row>
    <row r="1521">
      <c r="A1521" s="1" t="s">
        <v>875</v>
      </c>
      <c r="B1521" s="3">
        <v>45.0</v>
      </c>
      <c r="C1521" s="3">
        <v>60.0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2" t="str">
        <f>IFERROR(__xludf.DUMMYFUNCTION("INDEX(SPLIT(A1521, ""/""), 0, 2)"),"regex")</f>
        <v>regex</v>
      </c>
      <c r="J1521" s="2" t="b">
        <f t="shared" si="1"/>
        <v>0</v>
      </c>
    </row>
    <row r="1522">
      <c r="A1522" s="1" t="s">
        <v>876</v>
      </c>
      <c r="B1522" s="3">
        <v>43.0</v>
      </c>
      <c r="C1522" s="3">
        <v>60.0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2" t="str">
        <f>IFERROR(__xludf.DUMMYFUNCTION("INDEX(SPLIT(A1522, ""/""), 0, 2)"),"regex")</f>
        <v>regex</v>
      </c>
      <c r="J1522" s="2" t="b">
        <f t="shared" si="1"/>
        <v>0</v>
      </c>
    </row>
    <row r="1523">
      <c r="A1523" s="1" t="s">
        <v>877</v>
      </c>
      <c r="B1523" s="3">
        <v>17.0</v>
      </c>
      <c r="C1523" s="3">
        <v>60.0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2" t="str">
        <f>IFERROR(__xludf.DUMMYFUNCTION("INDEX(SPLIT(A1523, ""/""), 0, 2)"),"regex")</f>
        <v>regex</v>
      </c>
      <c r="J1523" s="2" t="b">
        <f t="shared" si="1"/>
        <v>0</v>
      </c>
    </row>
    <row r="1524">
      <c r="A1524" s="1" t="s">
        <v>878</v>
      </c>
      <c r="B1524" s="3">
        <v>92.0</v>
      </c>
      <c r="C1524" s="3">
        <v>60.0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2" t="str">
        <f>IFERROR(__xludf.DUMMYFUNCTION("INDEX(SPLIT(A1524, ""/""), 0, 2)"),"regex")</f>
        <v>regex</v>
      </c>
      <c r="J1524" s="2" t="b">
        <f t="shared" si="1"/>
        <v>0</v>
      </c>
    </row>
    <row r="1525">
      <c r="A1525" s="1" t="s">
        <v>879</v>
      </c>
      <c r="B1525" s="3">
        <v>49.0</v>
      </c>
      <c r="C1525" s="3">
        <v>60.0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2" t="str">
        <f>IFERROR(__xludf.DUMMYFUNCTION("INDEX(SPLIT(A1525, ""/""), 0, 2)"),"regex")</f>
        <v>regex</v>
      </c>
      <c r="J1525" s="2" t="b">
        <f t="shared" si="1"/>
        <v>0</v>
      </c>
    </row>
    <row r="1526">
      <c r="A1526" s="1" t="s">
        <v>880</v>
      </c>
      <c r="B1526" s="3">
        <v>4.0</v>
      </c>
      <c r="C1526" s="3">
        <v>60.0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2" t="str">
        <f>IFERROR(__xludf.DUMMYFUNCTION("INDEX(SPLIT(A1526, ""/""), 0, 2)"),"regex")</f>
        <v>regex</v>
      </c>
      <c r="J1526" s="2" t="b">
        <f t="shared" si="1"/>
        <v>0</v>
      </c>
    </row>
    <row r="1527">
      <c r="A1527" s="1" t="s">
        <v>881</v>
      </c>
      <c r="B1527" s="3">
        <v>24.0</v>
      </c>
      <c r="C1527" s="3">
        <v>60.0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2" t="str">
        <f>IFERROR(__xludf.DUMMYFUNCTION("INDEX(SPLIT(A1527, ""/""), 0, 2)"),"regex")</f>
        <v>regex</v>
      </c>
      <c r="J1527" s="2" t="b">
        <f t="shared" si="1"/>
        <v>0</v>
      </c>
    </row>
    <row r="1528">
      <c r="A1528" s="1" t="s">
        <v>882</v>
      </c>
      <c r="B1528" s="3">
        <v>36.0</v>
      </c>
      <c r="C1528" s="3">
        <v>60.0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2" t="str">
        <f>IFERROR(__xludf.DUMMYFUNCTION("INDEX(SPLIT(A1528, ""/""), 0, 2)"),"regex")</f>
        <v>regex</v>
      </c>
      <c r="J1528" s="2" t="b">
        <f t="shared" si="1"/>
        <v>0</v>
      </c>
    </row>
    <row r="1529">
      <c r="A1529" s="1" t="s">
        <v>883</v>
      </c>
      <c r="B1529" s="3">
        <v>186.0</v>
      </c>
      <c r="C1529" s="3">
        <v>60.0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2" t="str">
        <f>IFERROR(__xludf.DUMMYFUNCTION("INDEX(SPLIT(A1529, ""/""), 0, 2)"),"regex")</f>
        <v>regex</v>
      </c>
      <c r="J1529" s="2" t="b">
        <f t="shared" si="1"/>
        <v>0</v>
      </c>
    </row>
    <row r="1530">
      <c r="A1530" s="1" t="s">
        <v>884</v>
      </c>
      <c r="B1530" s="3">
        <v>55.0</v>
      </c>
      <c r="C1530" s="3">
        <v>60.0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2" t="str">
        <f>IFERROR(__xludf.DUMMYFUNCTION("INDEX(SPLIT(A1530, ""/""), 0, 2)"),"regex")</f>
        <v>regex</v>
      </c>
      <c r="J1530" s="2" t="b">
        <f t="shared" si="1"/>
        <v>0</v>
      </c>
    </row>
    <row r="1531">
      <c r="A1531" s="1" t="s">
        <v>885</v>
      </c>
      <c r="B1531" s="3">
        <v>30.0</v>
      </c>
      <c r="C1531" s="3">
        <v>60.0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2" t="str">
        <f>IFERROR(__xludf.DUMMYFUNCTION("INDEX(SPLIT(A1531, ""/""), 0, 2)"),"regex")</f>
        <v>regex</v>
      </c>
      <c r="J1531" s="2" t="b">
        <f t="shared" si="1"/>
        <v>0</v>
      </c>
    </row>
    <row r="1532">
      <c r="A1532" s="1" t="s">
        <v>886</v>
      </c>
      <c r="B1532" s="3">
        <v>108.0</v>
      </c>
      <c r="C1532" s="3">
        <v>60.0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2" t="str">
        <f>IFERROR(__xludf.DUMMYFUNCTION("INDEX(SPLIT(A1532, ""/""), 0, 2)"),"regex")</f>
        <v>regex</v>
      </c>
      <c r="J1532" s="2" t="b">
        <f t="shared" si="1"/>
        <v>0</v>
      </c>
    </row>
    <row r="1533">
      <c r="A1533" s="1" t="s">
        <v>887</v>
      </c>
      <c r="B1533" s="3">
        <v>21.0</v>
      </c>
      <c r="C1533" s="3">
        <v>60.0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2" t="str">
        <f>IFERROR(__xludf.DUMMYFUNCTION("INDEX(SPLIT(A1533, ""/""), 0, 2)"),"regex")</f>
        <v>regex</v>
      </c>
      <c r="J1533" s="2" t="b">
        <f t="shared" si="1"/>
        <v>0</v>
      </c>
    </row>
    <row r="1534">
      <c r="A1534" s="1" t="s">
        <v>888</v>
      </c>
      <c r="B1534" s="3">
        <v>26.0</v>
      </c>
      <c r="C1534" s="3">
        <v>60.0</v>
      </c>
      <c r="D1534" s="3">
        <v>0.0</v>
      </c>
      <c r="E1534" s="3">
        <v>0.0</v>
      </c>
      <c r="F1534" s="3">
        <v>0.0</v>
      </c>
      <c r="G1534" s="3">
        <v>0.0</v>
      </c>
      <c r="H1534" s="3">
        <v>0.0</v>
      </c>
      <c r="I1534" s="2" t="str">
        <f>IFERROR(__xludf.DUMMYFUNCTION("INDEX(SPLIT(A1534, ""/""), 0, 2)"),"regex")</f>
        <v>regex</v>
      </c>
      <c r="J1534" s="2" t="b">
        <f t="shared" si="1"/>
        <v>0</v>
      </c>
    </row>
    <row r="1535">
      <c r="A1535" s="1" t="s">
        <v>889</v>
      </c>
      <c r="B1535" s="3">
        <v>45.0</v>
      </c>
      <c r="C1535" s="3">
        <v>60.0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2" t="str">
        <f>IFERROR(__xludf.DUMMYFUNCTION("INDEX(SPLIT(A1535, ""/""), 0, 2)"),"regex")</f>
        <v>regex</v>
      </c>
      <c r="J1535" s="2" t="b">
        <f t="shared" si="1"/>
        <v>0</v>
      </c>
    </row>
    <row r="1536">
      <c r="A1536" s="1" t="s">
        <v>890</v>
      </c>
      <c r="B1536" s="3">
        <v>10.0</v>
      </c>
      <c r="C1536" s="3">
        <v>60.0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2" t="str">
        <f>IFERROR(__xludf.DUMMYFUNCTION("INDEX(SPLIT(A1536, ""/""), 0, 2)"),"regex")</f>
        <v>regex</v>
      </c>
      <c r="J1536" s="2" t="b">
        <f t="shared" si="1"/>
        <v>0</v>
      </c>
    </row>
    <row r="1537">
      <c r="A1537" s="1" t="s">
        <v>891</v>
      </c>
      <c r="B1537" s="3">
        <v>14.0</v>
      </c>
      <c r="C1537" s="3">
        <v>60.0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2" t="str">
        <f>IFERROR(__xludf.DUMMYFUNCTION("INDEX(SPLIT(A1537, ""/""), 0, 2)"),"regex")</f>
        <v>regex</v>
      </c>
      <c r="J1537" s="2" t="b">
        <f t="shared" si="1"/>
        <v>0</v>
      </c>
    </row>
    <row r="1538">
      <c r="A1538" s="1" t="s">
        <v>892</v>
      </c>
      <c r="B1538" s="3">
        <v>21.0</v>
      </c>
      <c r="C1538" s="3">
        <v>60.0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2" t="str">
        <f>IFERROR(__xludf.DUMMYFUNCTION("INDEX(SPLIT(A1538, ""/""), 0, 2)"),"regex")</f>
        <v>regex</v>
      </c>
      <c r="J1538" s="2" t="b">
        <f t="shared" si="1"/>
        <v>0</v>
      </c>
    </row>
    <row r="1539">
      <c r="A1539" s="1" t="s">
        <v>893</v>
      </c>
      <c r="B1539" s="3">
        <v>120.0</v>
      </c>
      <c r="C1539" s="3">
        <v>60.0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2" t="str">
        <f>IFERROR(__xludf.DUMMYFUNCTION("INDEX(SPLIT(A1539, ""/""), 0, 2)"),"regex")</f>
        <v>regex</v>
      </c>
      <c r="J1539" s="2" t="b">
        <f t="shared" si="1"/>
        <v>0</v>
      </c>
    </row>
    <row r="1540">
      <c r="A1540" s="1" t="s">
        <v>894</v>
      </c>
      <c r="B1540" s="3">
        <v>29.0</v>
      </c>
      <c r="C1540" s="3">
        <v>60.0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2" t="str">
        <f>IFERROR(__xludf.DUMMYFUNCTION("INDEX(SPLIT(A1540, ""/""), 0, 2)"),"regex")</f>
        <v>regex</v>
      </c>
      <c r="J1540" s="2" t="b">
        <f t="shared" si="1"/>
        <v>0</v>
      </c>
    </row>
    <row r="1541">
      <c r="A1541" s="1" t="s">
        <v>895</v>
      </c>
      <c r="B1541" s="3">
        <v>19.0</v>
      </c>
      <c r="C1541" s="3">
        <v>60.0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2" t="str">
        <f>IFERROR(__xludf.DUMMYFUNCTION("INDEX(SPLIT(A1541, ""/""), 0, 2)"),"regex")</f>
        <v>regex</v>
      </c>
      <c r="J1541" s="2" t="b">
        <f t="shared" si="1"/>
        <v>0</v>
      </c>
    </row>
    <row r="1542">
      <c r="A1542" s="1" t="s">
        <v>896</v>
      </c>
      <c r="B1542" s="3">
        <v>35.0</v>
      </c>
      <c r="C1542" s="3">
        <v>60.0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2" t="str">
        <f>IFERROR(__xludf.DUMMYFUNCTION("INDEX(SPLIT(A1542, ""/""), 0, 2)"),"regex")</f>
        <v>regex</v>
      </c>
      <c r="J1542" s="2" t="b">
        <f t="shared" si="1"/>
        <v>0</v>
      </c>
    </row>
    <row r="1543">
      <c r="A1543" s="1" t="s">
        <v>897</v>
      </c>
      <c r="B1543" s="3">
        <v>40.0</v>
      </c>
      <c r="C1543" s="3">
        <v>60.0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2" t="str">
        <f>IFERROR(__xludf.DUMMYFUNCTION("INDEX(SPLIT(A1543, ""/""), 0, 2)"),"regex")</f>
        <v>regex</v>
      </c>
      <c r="J1543" s="2" t="b">
        <f t="shared" si="1"/>
        <v>0</v>
      </c>
    </row>
    <row r="1544">
      <c r="A1544" s="1" t="s">
        <v>898</v>
      </c>
      <c r="B1544" s="3">
        <v>28.0</v>
      </c>
      <c r="C1544" s="3">
        <v>60.0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2" t="str">
        <f>IFERROR(__xludf.DUMMYFUNCTION("INDEX(SPLIT(A1544, ""/""), 0, 2)"),"regex")</f>
        <v>regex</v>
      </c>
      <c r="J1544" s="2" t="b">
        <f t="shared" si="1"/>
        <v>0</v>
      </c>
    </row>
    <row r="1545">
      <c r="A1545" s="1" t="s">
        <v>899</v>
      </c>
      <c r="B1545" s="3">
        <v>65.0</v>
      </c>
      <c r="C1545" s="3">
        <v>60.0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2" t="str">
        <f>IFERROR(__xludf.DUMMYFUNCTION("INDEX(SPLIT(A1545, ""/""), 0, 2)"),"regex")</f>
        <v>regex</v>
      </c>
      <c r="J1545" s="2" t="b">
        <f t="shared" si="1"/>
        <v>0</v>
      </c>
    </row>
    <row r="1546">
      <c r="A1546" s="1" t="s">
        <v>900</v>
      </c>
      <c r="B1546" s="3">
        <v>43.0</v>
      </c>
      <c r="C1546" s="3">
        <v>60.0</v>
      </c>
      <c r="D1546" s="3">
        <v>0.0</v>
      </c>
      <c r="E1546" s="3">
        <v>0.0</v>
      </c>
      <c r="F1546" s="3">
        <v>0.0</v>
      </c>
      <c r="G1546" s="3">
        <v>0.0</v>
      </c>
      <c r="H1546" s="3">
        <v>0.0</v>
      </c>
      <c r="I1546" s="2" t="str">
        <f>IFERROR(__xludf.DUMMYFUNCTION("INDEX(SPLIT(A1546, ""/""), 0, 2)"),"regex")</f>
        <v>regex</v>
      </c>
      <c r="J1546" s="2" t="b">
        <f t="shared" si="1"/>
        <v>0</v>
      </c>
    </row>
    <row r="1547">
      <c r="A1547" s="1" t="s">
        <v>901</v>
      </c>
      <c r="B1547" s="3">
        <v>88.0</v>
      </c>
      <c r="C1547" s="3">
        <v>60.0</v>
      </c>
      <c r="D1547" s="3">
        <v>0.0</v>
      </c>
      <c r="E1547" s="3">
        <v>0.0</v>
      </c>
      <c r="F1547" s="3">
        <v>0.0</v>
      </c>
      <c r="G1547" s="3">
        <v>0.0</v>
      </c>
      <c r="H1547" s="3">
        <v>0.0</v>
      </c>
      <c r="I1547" s="2" t="str">
        <f>IFERROR(__xludf.DUMMYFUNCTION("INDEX(SPLIT(A1547, ""/""), 0, 2)"),"regex")</f>
        <v>regex</v>
      </c>
      <c r="J1547" s="2" t="b">
        <f t="shared" si="1"/>
        <v>0</v>
      </c>
    </row>
    <row r="1548">
      <c r="A1548" s="1" t="s">
        <v>902</v>
      </c>
      <c r="B1548" s="3">
        <v>83.0</v>
      </c>
      <c r="C1548" s="3">
        <v>60.0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2" t="str">
        <f>IFERROR(__xludf.DUMMYFUNCTION("INDEX(SPLIT(A1548, ""/""), 0, 2)"),"regex")</f>
        <v>regex</v>
      </c>
      <c r="J1548" s="2" t="b">
        <f t="shared" si="1"/>
        <v>0</v>
      </c>
    </row>
    <row r="1549">
      <c r="A1549" s="1" t="s">
        <v>903</v>
      </c>
      <c r="B1549" s="3">
        <v>9.0</v>
      </c>
      <c r="C1549" s="3">
        <v>60.0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2" t="str">
        <f>IFERROR(__xludf.DUMMYFUNCTION("INDEX(SPLIT(A1549, ""/""), 0, 2)"),"regex")</f>
        <v>regex</v>
      </c>
      <c r="J1549" s="2" t="b">
        <f t="shared" si="1"/>
        <v>0</v>
      </c>
    </row>
    <row r="1550">
      <c r="A1550" s="1" t="s">
        <v>904</v>
      </c>
      <c r="B1550" s="3">
        <v>29.0</v>
      </c>
      <c r="C1550" s="3">
        <v>60.0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2" t="str">
        <f>IFERROR(__xludf.DUMMYFUNCTION("INDEX(SPLIT(A1550, ""/""), 0, 2)"),"regex")</f>
        <v>regex</v>
      </c>
      <c r="J1550" s="2" t="b">
        <f t="shared" si="1"/>
        <v>0</v>
      </c>
    </row>
    <row r="1551">
      <c r="A1551" s="1" t="s">
        <v>905</v>
      </c>
      <c r="B1551" s="3">
        <v>34.0</v>
      </c>
      <c r="C1551" s="3">
        <v>60.0</v>
      </c>
      <c r="D1551" s="3">
        <v>0.0</v>
      </c>
      <c r="E1551" s="3">
        <v>0.0</v>
      </c>
      <c r="F1551" s="3">
        <v>0.0</v>
      </c>
      <c r="G1551" s="3">
        <v>0.0</v>
      </c>
      <c r="H1551" s="3">
        <v>0.0</v>
      </c>
      <c r="I1551" s="2" t="str">
        <f>IFERROR(__xludf.DUMMYFUNCTION("INDEX(SPLIT(A1551, ""/""), 0, 2)"),"regex")</f>
        <v>regex</v>
      </c>
      <c r="J1551" s="2" t="b">
        <f t="shared" si="1"/>
        <v>0</v>
      </c>
    </row>
    <row r="1552">
      <c r="A1552" s="1" t="s">
        <v>906</v>
      </c>
      <c r="B1552" s="3">
        <v>6.0</v>
      </c>
      <c r="C1552" s="3">
        <v>60.0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2" t="str">
        <f>IFERROR(__xludf.DUMMYFUNCTION("INDEX(SPLIT(A1552, ""/""), 0, 2)"),"regex")</f>
        <v>regex</v>
      </c>
      <c r="J1552" s="2" t="b">
        <f t="shared" si="1"/>
        <v>0</v>
      </c>
    </row>
    <row r="1553">
      <c r="A1553" s="1" t="s">
        <v>907</v>
      </c>
      <c r="B1553" s="3">
        <v>43.0</v>
      </c>
      <c r="C1553" s="3">
        <v>60.0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2" t="str">
        <f>IFERROR(__xludf.DUMMYFUNCTION("INDEX(SPLIT(A1553, ""/""), 0, 2)"),"regex")</f>
        <v>regex</v>
      </c>
      <c r="J1553" s="2" t="b">
        <f t="shared" si="1"/>
        <v>0</v>
      </c>
    </row>
    <row r="1554">
      <c r="A1554" s="1" t="s">
        <v>908</v>
      </c>
      <c r="B1554" s="3">
        <v>24.0</v>
      </c>
      <c r="C1554" s="3">
        <v>60.0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2" t="str">
        <f>IFERROR(__xludf.DUMMYFUNCTION("INDEX(SPLIT(A1554, ""/""), 0, 2)"),"regex")</f>
        <v>regex</v>
      </c>
      <c r="J1554" s="2" t="b">
        <f t="shared" si="1"/>
        <v>0</v>
      </c>
    </row>
    <row r="1555">
      <c r="A1555" s="1" t="s">
        <v>909</v>
      </c>
      <c r="B1555" s="3">
        <v>20.0</v>
      </c>
      <c r="C1555" s="3">
        <v>60.0</v>
      </c>
      <c r="D1555" s="3">
        <v>0.0</v>
      </c>
      <c r="E1555" s="3">
        <v>0.0</v>
      </c>
      <c r="F1555" s="3">
        <v>0.0</v>
      </c>
      <c r="G1555" s="3">
        <v>0.0</v>
      </c>
      <c r="H1555" s="3">
        <v>0.0</v>
      </c>
      <c r="I1555" s="2" t="str">
        <f>IFERROR(__xludf.DUMMYFUNCTION("INDEX(SPLIT(A1555, ""/""), 0, 2)"),"regex")</f>
        <v>regex</v>
      </c>
      <c r="J1555" s="2" t="b">
        <f t="shared" si="1"/>
        <v>0</v>
      </c>
    </row>
    <row r="1556">
      <c r="A1556" s="1" t="s">
        <v>910</v>
      </c>
      <c r="B1556" s="3">
        <v>22.0</v>
      </c>
      <c r="C1556" s="3">
        <v>60.0</v>
      </c>
      <c r="D1556" s="3">
        <v>0.0</v>
      </c>
      <c r="E1556" s="3">
        <v>0.0</v>
      </c>
      <c r="F1556" s="3">
        <v>0.0</v>
      </c>
      <c r="G1556" s="3">
        <v>0.0</v>
      </c>
      <c r="H1556" s="3">
        <v>0.0</v>
      </c>
      <c r="I1556" s="2" t="str">
        <f>IFERROR(__xludf.DUMMYFUNCTION("INDEX(SPLIT(A1556, ""/""), 0, 2)"),"regex")</f>
        <v>regex</v>
      </c>
      <c r="J1556" s="2" t="b">
        <f t="shared" si="1"/>
        <v>0</v>
      </c>
    </row>
    <row r="1557">
      <c r="A1557" s="1" t="s">
        <v>911</v>
      </c>
      <c r="B1557" s="3">
        <v>34.0</v>
      </c>
      <c r="C1557" s="3">
        <v>60.0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2" t="str">
        <f>IFERROR(__xludf.DUMMYFUNCTION("INDEX(SPLIT(A1557, ""/""), 0, 2)"),"regex")</f>
        <v>regex</v>
      </c>
      <c r="J1557" s="2" t="b">
        <f t="shared" si="1"/>
        <v>0</v>
      </c>
    </row>
    <row r="1558">
      <c r="A1558" s="1" t="s">
        <v>912</v>
      </c>
      <c r="B1558" s="3">
        <v>105.0</v>
      </c>
      <c r="C1558" s="3">
        <v>60.0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2" t="str">
        <f>IFERROR(__xludf.DUMMYFUNCTION("INDEX(SPLIT(A1558, ""/""), 0, 2)"),"regex")</f>
        <v>regex</v>
      </c>
      <c r="J1558" s="2" t="b">
        <f t="shared" si="1"/>
        <v>0</v>
      </c>
    </row>
    <row r="1559">
      <c r="A1559" s="1" t="s">
        <v>913</v>
      </c>
      <c r="B1559" s="3">
        <v>8.0</v>
      </c>
      <c r="C1559" s="3">
        <v>60.0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2" t="str">
        <f>IFERROR(__xludf.DUMMYFUNCTION("INDEX(SPLIT(A1559, ""/""), 0, 2)"),"regex")</f>
        <v>regex</v>
      </c>
      <c r="J1559" s="2" t="b">
        <f t="shared" si="1"/>
        <v>0</v>
      </c>
    </row>
    <row r="1560">
      <c r="A1560" s="1" t="s">
        <v>914</v>
      </c>
      <c r="B1560" s="3">
        <v>5.0</v>
      </c>
      <c r="C1560" s="3">
        <v>60.0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2" t="str">
        <f>IFERROR(__xludf.DUMMYFUNCTION("INDEX(SPLIT(A1560, ""/""), 0, 2)"),"regex")</f>
        <v>regex</v>
      </c>
      <c r="J1560" s="2" t="b">
        <f t="shared" si="1"/>
        <v>0</v>
      </c>
    </row>
    <row r="1561">
      <c r="A1561" s="1" t="s">
        <v>915</v>
      </c>
      <c r="B1561" s="3">
        <v>149.0</v>
      </c>
      <c r="C1561" s="3">
        <v>60.0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2" t="str">
        <f>IFERROR(__xludf.DUMMYFUNCTION("INDEX(SPLIT(A1561, ""/""), 0, 2)"),"regex")</f>
        <v>regex</v>
      </c>
      <c r="J1561" s="2" t="b">
        <f t="shared" si="1"/>
        <v>0</v>
      </c>
    </row>
    <row r="1562">
      <c r="A1562" s="1" t="s">
        <v>916</v>
      </c>
      <c r="B1562" s="3">
        <v>17.0</v>
      </c>
      <c r="C1562" s="3">
        <v>60.0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2" t="str">
        <f>IFERROR(__xludf.DUMMYFUNCTION("INDEX(SPLIT(A1562, ""/""), 0, 2)"),"regex")</f>
        <v>regex</v>
      </c>
      <c r="J1562" s="2" t="b">
        <f t="shared" si="1"/>
        <v>0</v>
      </c>
    </row>
    <row r="1563">
      <c r="A1563" s="1" t="s">
        <v>917</v>
      </c>
      <c r="B1563" s="3">
        <v>30.0</v>
      </c>
      <c r="C1563" s="3">
        <v>60.0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2" t="str">
        <f>IFERROR(__xludf.DUMMYFUNCTION("INDEX(SPLIT(A1563, ""/""), 0, 2)"),"regex")</f>
        <v>regex</v>
      </c>
      <c r="J1563" s="2" t="b">
        <f t="shared" si="1"/>
        <v>0</v>
      </c>
    </row>
    <row r="1564">
      <c r="A1564" s="1" t="s">
        <v>918</v>
      </c>
      <c r="B1564" s="3">
        <v>61.0</v>
      </c>
      <c r="C1564" s="3">
        <v>60.0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2" t="str">
        <f>IFERROR(__xludf.DUMMYFUNCTION("INDEX(SPLIT(A1564, ""/""), 0, 2)"),"regex")</f>
        <v>regex</v>
      </c>
      <c r="J1564" s="2" t="b">
        <f t="shared" si="1"/>
        <v>0</v>
      </c>
    </row>
    <row r="1565">
      <c r="A1565" s="1" t="s">
        <v>919</v>
      </c>
      <c r="B1565" s="3">
        <v>37.0</v>
      </c>
      <c r="C1565" s="3">
        <v>60.0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2" t="str">
        <f>IFERROR(__xludf.DUMMYFUNCTION("INDEX(SPLIT(A1565, ""/""), 0, 2)"),"regex")</f>
        <v>regex</v>
      </c>
      <c r="J1565" s="2" t="b">
        <f t="shared" si="1"/>
        <v>0</v>
      </c>
    </row>
    <row r="1566">
      <c r="A1566" s="1" t="s">
        <v>920</v>
      </c>
      <c r="B1566" s="3">
        <v>33.0</v>
      </c>
      <c r="C1566" s="3">
        <v>60.0</v>
      </c>
      <c r="D1566" s="3">
        <v>0.0</v>
      </c>
      <c r="E1566" s="3">
        <v>0.0</v>
      </c>
      <c r="F1566" s="3">
        <v>0.0</v>
      </c>
      <c r="G1566" s="3">
        <v>0.0</v>
      </c>
      <c r="H1566" s="3">
        <v>0.0</v>
      </c>
      <c r="I1566" s="2" t="str">
        <f>IFERROR(__xludf.DUMMYFUNCTION("INDEX(SPLIT(A1566, ""/""), 0, 2)"),"regex")</f>
        <v>regex</v>
      </c>
      <c r="J1566" s="2" t="b">
        <f t="shared" si="1"/>
        <v>0</v>
      </c>
    </row>
    <row r="1567">
      <c r="A1567" s="1" t="s">
        <v>921</v>
      </c>
      <c r="B1567" s="3">
        <v>26.0</v>
      </c>
      <c r="C1567" s="3">
        <v>60.0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2" t="str">
        <f>IFERROR(__xludf.DUMMYFUNCTION("INDEX(SPLIT(A1567, ""/""), 0, 2)"),"regex")</f>
        <v>regex</v>
      </c>
      <c r="J1567" s="2" t="b">
        <f t="shared" si="1"/>
        <v>0</v>
      </c>
    </row>
    <row r="1568">
      <c r="A1568" s="1" t="s">
        <v>922</v>
      </c>
      <c r="B1568" s="3">
        <v>15.0</v>
      </c>
      <c r="C1568" s="3">
        <v>60.0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2" t="str">
        <f>IFERROR(__xludf.DUMMYFUNCTION("INDEX(SPLIT(A1568, ""/""), 0, 2)"),"regex")</f>
        <v>regex</v>
      </c>
      <c r="J1568" s="2" t="b">
        <f t="shared" si="1"/>
        <v>0</v>
      </c>
    </row>
    <row r="1569">
      <c r="A1569" s="1" t="s">
        <v>923</v>
      </c>
      <c r="B1569" s="3">
        <v>10.0</v>
      </c>
      <c r="C1569" s="3">
        <v>60.0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2" t="str">
        <f>IFERROR(__xludf.DUMMYFUNCTION("INDEX(SPLIT(A1569, ""/""), 0, 2)"),"regex")</f>
        <v>regex</v>
      </c>
      <c r="J1569" s="2" t="b">
        <f t="shared" si="1"/>
        <v>0</v>
      </c>
    </row>
    <row r="1570">
      <c r="A1570" s="1" t="s">
        <v>924</v>
      </c>
      <c r="B1570" s="3">
        <v>23.0</v>
      </c>
      <c r="C1570" s="3">
        <v>60.0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2" t="str">
        <f>IFERROR(__xludf.DUMMYFUNCTION("INDEX(SPLIT(A1570, ""/""), 0, 2)"),"regex")</f>
        <v>regex</v>
      </c>
      <c r="J1570" s="2" t="b">
        <f t="shared" si="1"/>
        <v>0</v>
      </c>
    </row>
    <row r="1571">
      <c r="A1571" s="1" t="s">
        <v>925</v>
      </c>
      <c r="B1571" s="3">
        <v>35.0</v>
      </c>
      <c r="C1571" s="3">
        <v>60.0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2" t="str">
        <f>IFERROR(__xludf.DUMMYFUNCTION("INDEX(SPLIT(A1571, ""/""), 0, 2)"),"regex")</f>
        <v>regex</v>
      </c>
      <c r="J1571" s="2" t="b">
        <f t="shared" si="1"/>
        <v>0</v>
      </c>
    </row>
    <row r="1572">
      <c r="A1572" s="1" t="s">
        <v>926</v>
      </c>
      <c r="B1572" s="3">
        <v>6.0</v>
      </c>
      <c r="C1572" s="3">
        <v>60.0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2" t="str">
        <f>IFERROR(__xludf.DUMMYFUNCTION("INDEX(SPLIT(A1572, ""/""), 0, 2)"),"regex")</f>
        <v>regex</v>
      </c>
      <c r="J1572" s="2" t="b">
        <f t="shared" si="1"/>
        <v>0</v>
      </c>
    </row>
    <row r="1573">
      <c r="A1573" s="1" t="s">
        <v>927</v>
      </c>
      <c r="B1573" s="3">
        <v>64.0</v>
      </c>
      <c r="C1573" s="3">
        <v>60.0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2" t="str">
        <f>IFERROR(__xludf.DUMMYFUNCTION("INDEX(SPLIT(A1573, ""/""), 0, 2)"),"regex")</f>
        <v>regex</v>
      </c>
      <c r="J1573" s="2" t="b">
        <f t="shared" si="1"/>
        <v>0</v>
      </c>
    </row>
    <row r="1574">
      <c r="A1574" s="1" t="s">
        <v>928</v>
      </c>
      <c r="B1574" s="3">
        <v>22.0</v>
      </c>
      <c r="C1574" s="3">
        <v>60.0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2" t="str">
        <f>IFERROR(__xludf.DUMMYFUNCTION("INDEX(SPLIT(A1574, ""/""), 0, 2)"),"regex")</f>
        <v>regex</v>
      </c>
      <c r="J1574" s="2" t="b">
        <f t="shared" si="1"/>
        <v>0</v>
      </c>
    </row>
    <row r="1575">
      <c r="A1575" s="1" t="s">
        <v>929</v>
      </c>
      <c r="B1575" s="3">
        <v>38.0</v>
      </c>
      <c r="C1575" s="3">
        <v>60.0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2" t="str">
        <f>IFERROR(__xludf.DUMMYFUNCTION("INDEX(SPLIT(A1575, ""/""), 0, 2)"),"regex")</f>
        <v>regex</v>
      </c>
      <c r="J1575" s="2" t="b">
        <f t="shared" si="1"/>
        <v>0</v>
      </c>
    </row>
    <row r="1576">
      <c r="A1576" s="1" t="s">
        <v>930</v>
      </c>
      <c r="B1576" s="3">
        <v>36.0</v>
      </c>
      <c r="C1576" s="3">
        <v>60.0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2" t="str">
        <f>IFERROR(__xludf.DUMMYFUNCTION("INDEX(SPLIT(A1576, ""/""), 0, 2)"),"regex")</f>
        <v>regex</v>
      </c>
      <c r="J1576" s="2" t="b">
        <f t="shared" si="1"/>
        <v>0</v>
      </c>
    </row>
    <row r="1577">
      <c r="A1577" s="1" t="s">
        <v>931</v>
      </c>
      <c r="B1577" s="3">
        <v>21.0</v>
      </c>
      <c r="C1577" s="3">
        <v>60.0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2" t="str">
        <f>IFERROR(__xludf.DUMMYFUNCTION("INDEX(SPLIT(A1577, ""/""), 0, 2)"),"regex")</f>
        <v>regex</v>
      </c>
      <c r="J1577" s="2" t="b">
        <f t="shared" si="1"/>
        <v>0</v>
      </c>
    </row>
    <row r="1578">
      <c r="A1578" s="1" t="s">
        <v>932</v>
      </c>
      <c r="B1578" s="3">
        <v>25.0</v>
      </c>
      <c r="C1578" s="3">
        <v>60.0</v>
      </c>
      <c r="D1578" s="3">
        <v>0.0</v>
      </c>
      <c r="E1578" s="3">
        <v>0.0</v>
      </c>
      <c r="F1578" s="3">
        <v>0.0</v>
      </c>
      <c r="G1578" s="3">
        <v>0.0</v>
      </c>
      <c r="H1578" s="3">
        <v>0.0</v>
      </c>
      <c r="I1578" s="2" t="str">
        <f>IFERROR(__xludf.DUMMYFUNCTION("INDEX(SPLIT(A1578, ""/""), 0, 2)"),"regex")</f>
        <v>regex</v>
      </c>
      <c r="J1578" s="2" t="b">
        <f t="shared" si="1"/>
        <v>0</v>
      </c>
    </row>
    <row r="1579">
      <c r="A1579" s="1" t="s">
        <v>933</v>
      </c>
      <c r="B1579" s="3">
        <v>36.0</v>
      </c>
      <c r="C1579" s="3">
        <v>60.0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2" t="str">
        <f>IFERROR(__xludf.DUMMYFUNCTION("INDEX(SPLIT(A1579, ""/""), 0, 2)"),"regex")</f>
        <v>regex</v>
      </c>
      <c r="J1579" s="2" t="b">
        <f t="shared" si="1"/>
        <v>0</v>
      </c>
    </row>
    <row r="1580">
      <c r="A1580" s="1" t="s">
        <v>934</v>
      </c>
      <c r="B1580" s="3">
        <v>36.0</v>
      </c>
      <c r="C1580" s="3">
        <v>60.0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2" t="str">
        <f>IFERROR(__xludf.DUMMYFUNCTION("INDEX(SPLIT(A1580, ""/""), 0, 2)"),"regex")</f>
        <v>regex</v>
      </c>
      <c r="J1580" s="2" t="b">
        <f t="shared" si="1"/>
        <v>0</v>
      </c>
    </row>
    <row r="1581">
      <c r="A1581" s="1" t="s">
        <v>935</v>
      </c>
      <c r="B1581" s="3">
        <v>31.0</v>
      </c>
      <c r="C1581" s="3">
        <v>60.0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2" t="str">
        <f>IFERROR(__xludf.DUMMYFUNCTION("INDEX(SPLIT(A1581, ""/""), 0, 2)"),"regex")</f>
        <v>regex</v>
      </c>
      <c r="J1581" s="2" t="b">
        <f t="shared" si="1"/>
        <v>0</v>
      </c>
    </row>
    <row r="1582">
      <c r="A1582" s="1" t="s">
        <v>936</v>
      </c>
      <c r="B1582" s="3">
        <v>87.0</v>
      </c>
      <c r="C1582" s="3">
        <v>60.0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2" t="str">
        <f>IFERROR(__xludf.DUMMYFUNCTION("INDEX(SPLIT(A1582, ""/""), 0, 2)"),"regex")</f>
        <v>regex</v>
      </c>
      <c r="J1582" s="2" t="b">
        <f t="shared" si="1"/>
        <v>0</v>
      </c>
    </row>
    <row r="1583">
      <c r="A1583" s="1" t="s">
        <v>937</v>
      </c>
      <c r="B1583" s="3">
        <v>35.0</v>
      </c>
      <c r="C1583" s="3">
        <v>60.0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2" t="str">
        <f>IFERROR(__xludf.DUMMYFUNCTION("INDEX(SPLIT(A1583, ""/""), 0, 2)"),"regex")</f>
        <v>regex</v>
      </c>
      <c r="J1583" s="2" t="b">
        <f t="shared" si="1"/>
        <v>0</v>
      </c>
    </row>
    <row r="1584">
      <c r="A1584" s="1" t="s">
        <v>938</v>
      </c>
      <c r="B1584" s="3">
        <v>24.0</v>
      </c>
      <c r="C1584" s="3">
        <v>60.0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2" t="str">
        <f>IFERROR(__xludf.DUMMYFUNCTION("INDEX(SPLIT(A1584, ""/""), 0, 2)"),"regex")</f>
        <v>regex</v>
      </c>
      <c r="J1584" s="2" t="b">
        <f t="shared" si="1"/>
        <v>0</v>
      </c>
    </row>
    <row r="1585">
      <c r="A1585" s="1" t="s">
        <v>939</v>
      </c>
      <c r="B1585" s="3">
        <v>25.0</v>
      </c>
      <c r="C1585" s="3">
        <v>60.0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2" t="str">
        <f>IFERROR(__xludf.DUMMYFUNCTION("INDEX(SPLIT(A1585, ""/""), 0, 2)"),"regex")</f>
        <v>regex</v>
      </c>
      <c r="J1585" s="2" t="b">
        <f t="shared" si="1"/>
        <v>0</v>
      </c>
    </row>
    <row r="1586">
      <c r="A1586" s="1" t="s">
        <v>940</v>
      </c>
      <c r="B1586" s="3">
        <v>37.0</v>
      </c>
      <c r="C1586" s="3">
        <v>60.0</v>
      </c>
      <c r="D1586" s="3">
        <v>0.0</v>
      </c>
      <c r="E1586" s="3">
        <v>0.0</v>
      </c>
      <c r="F1586" s="3">
        <v>0.0</v>
      </c>
      <c r="G1586" s="3">
        <v>0.0</v>
      </c>
      <c r="H1586" s="3">
        <v>0.0</v>
      </c>
      <c r="I1586" s="2" t="str">
        <f>IFERROR(__xludf.DUMMYFUNCTION("INDEX(SPLIT(A1586, ""/""), 0, 2)"),"regex")</f>
        <v>regex</v>
      </c>
      <c r="J1586" s="2" t="b">
        <f t="shared" si="1"/>
        <v>0</v>
      </c>
    </row>
    <row r="1587">
      <c r="A1587" s="1" t="s">
        <v>941</v>
      </c>
      <c r="B1587" s="3">
        <v>40.0</v>
      </c>
      <c r="C1587" s="3">
        <v>60.0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2" t="str">
        <f>IFERROR(__xludf.DUMMYFUNCTION("INDEX(SPLIT(A1587, ""/""), 0, 2)"),"regex")</f>
        <v>regex</v>
      </c>
      <c r="J1587" s="2" t="b">
        <f t="shared" si="1"/>
        <v>0</v>
      </c>
    </row>
    <row r="1588">
      <c r="A1588" s="1" t="s">
        <v>942</v>
      </c>
      <c r="B1588" s="3">
        <v>48.0</v>
      </c>
      <c r="C1588" s="3">
        <v>60.0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2" t="str">
        <f>IFERROR(__xludf.DUMMYFUNCTION("INDEX(SPLIT(A1588, ""/""), 0, 2)"),"regex")</f>
        <v>regex</v>
      </c>
      <c r="J1588" s="2" t="b">
        <f t="shared" si="1"/>
        <v>0</v>
      </c>
    </row>
    <row r="1589">
      <c r="A1589" s="1" t="s">
        <v>943</v>
      </c>
      <c r="B1589" s="3">
        <v>108.0</v>
      </c>
      <c r="C1589" s="3">
        <v>60.0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2" t="str">
        <f>IFERROR(__xludf.DUMMYFUNCTION("INDEX(SPLIT(A1589, ""/""), 0, 2)"),"regex")</f>
        <v>regex</v>
      </c>
      <c r="J1589" s="2" t="b">
        <f t="shared" si="1"/>
        <v>0</v>
      </c>
    </row>
    <row r="1590">
      <c r="A1590" s="1" t="s">
        <v>944</v>
      </c>
      <c r="B1590" s="3">
        <v>100.0</v>
      </c>
      <c r="C1590" s="3">
        <v>60.0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2" t="str">
        <f>IFERROR(__xludf.DUMMYFUNCTION("INDEX(SPLIT(A1590, ""/""), 0, 2)"),"regex")</f>
        <v>regex</v>
      </c>
      <c r="J1590" s="2" t="b">
        <f t="shared" si="1"/>
        <v>0</v>
      </c>
    </row>
    <row r="1591">
      <c r="A1591" s="1" t="s">
        <v>945</v>
      </c>
      <c r="B1591" s="3">
        <v>25.0</v>
      </c>
      <c r="C1591" s="3">
        <v>60.0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2" t="str">
        <f>IFERROR(__xludf.DUMMYFUNCTION("INDEX(SPLIT(A1591, ""/""), 0, 2)"),"regex")</f>
        <v>regex</v>
      </c>
      <c r="J1591" s="2" t="b">
        <f t="shared" si="1"/>
        <v>0</v>
      </c>
    </row>
    <row r="1592">
      <c r="A1592" s="1" t="s">
        <v>946</v>
      </c>
      <c r="B1592" s="3">
        <v>28.0</v>
      </c>
      <c r="C1592" s="3">
        <v>60.0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2" t="str">
        <f>IFERROR(__xludf.DUMMYFUNCTION("INDEX(SPLIT(A1592, ""/""), 0, 2)"),"regex")</f>
        <v>regex</v>
      </c>
      <c r="J1592" s="2" t="b">
        <f t="shared" si="1"/>
        <v>0</v>
      </c>
    </row>
    <row r="1593">
      <c r="A1593" s="1" t="s">
        <v>947</v>
      </c>
      <c r="B1593" s="3">
        <v>196.0</v>
      </c>
      <c r="C1593" s="3">
        <v>60.0</v>
      </c>
      <c r="D1593" s="3">
        <v>1.0</v>
      </c>
      <c r="E1593" s="3">
        <v>0.0</v>
      </c>
      <c r="F1593" s="3">
        <v>0.0</v>
      </c>
      <c r="G1593" s="3">
        <v>0.0</v>
      </c>
      <c r="H1593" s="3">
        <v>0.0</v>
      </c>
      <c r="I1593" s="2" t="str">
        <f>IFERROR(__xludf.DUMMYFUNCTION("INDEX(SPLIT(A1593, ""/""), 0, 2)"),"regex")</f>
        <v>regex</v>
      </c>
      <c r="J1593" s="2" t="b">
        <f t="shared" si="1"/>
        <v>0</v>
      </c>
    </row>
    <row r="1594">
      <c r="A1594" s="1" t="s">
        <v>948</v>
      </c>
      <c r="B1594" s="3">
        <v>24.0</v>
      </c>
      <c r="C1594" s="3">
        <v>60.0</v>
      </c>
      <c r="D1594" s="3">
        <v>0.0</v>
      </c>
      <c r="E1594" s="3">
        <v>0.0</v>
      </c>
      <c r="F1594" s="3">
        <v>0.0</v>
      </c>
      <c r="G1594" s="3">
        <v>0.0</v>
      </c>
      <c r="H1594" s="3">
        <v>0.0</v>
      </c>
      <c r="I1594" s="2" t="str">
        <f>IFERROR(__xludf.DUMMYFUNCTION("INDEX(SPLIT(A1594, ""/""), 0, 2)"),"regex")</f>
        <v>regex</v>
      </c>
      <c r="J1594" s="2" t="b">
        <f t="shared" si="1"/>
        <v>0</v>
      </c>
    </row>
    <row r="1595">
      <c r="A1595" s="1" t="s">
        <v>949</v>
      </c>
      <c r="B1595" s="3">
        <v>28.0</v>
      </c>
      <c r="C1595" s="3">
        <v>60.0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2" t="str">
        <f>IFERROR(__xludf.DUMMYFUNCTION("INDEX(SPLIT(A1595, ""/""), 0, 2)"),"regex")</f>
        <v>regex</v>
      </c>
      <c r="J1595" s="2" t="b">
        <f t="shared" si="1"/>
        <v>0</v>
      </c>
    </row>
    <row r="1596">
      <c r="A1596" s="1" t="s">
        <v>950</v>
      </c>
      <c r="B1596" s="3">
        <v>15.0</v>
      </c>
      <c r="C1596" s="3">
        <v>60.0</v>
      </c>
      <c r="D1596" s="3">
        <v>0.0</v>
      </c>
      <c r="E1596" s="3">
        <v>0.0</v>
      </c>
      <c r="F1596" s="3">
        <v>0.0</v>
      </c>
      <c r="G1596" s="3">
        <v>0.0</v>
      </c>
      <c r="H1596" s="3">
        <v>0.0</v>
      </c>
      <c r="I1596" s="2" t="str">
        <f>IFERROR(__xludf.DUMMYFUNCTION("INDEX(SPLIT(A1596, ""/""), 0, 2)"),"regex")</f>
        <v>regex</v>
      </c>
      <c r="J1596" s="2" t="b">
        <f t="shared" si="1"/>
        <v>0</v>
      </c>
    </row>
    <row r="1597">
      <c r="A1597" s="1" t="s">
        <v>951</v>
      </c>
      <c r="B1597" s="3">
        <v>20.0</v>
      </c>
      <c r="C1597" s="3">
        <v>60.0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2" t="str">
        <f>IFERROR(__xludf.DUMMYFUNCTION("INDEX(SPLIT(A1597, ""/""), 0, 2)"),"regex")</f>
        <v>regex</v>
      </c>
      <c r="J1597" s="2" t="b">
        <f t="shared" si="1"/>
        <v>0</v>
      </c>
    </row>
    <row r="1598">
      <c r="A1598" s="1" t="s">
        <v>952</v>
      </c>
      <c r="B1598" s="3">
        <v>17.0</v>
      </c>
      <c r="C1598" s="3">
        <v>60.0</v>
      </c>
      <c r="D1598" s="3">
        <v>0.0</v>
      </c>
      <c r="E1598" s="3">
        <v>0.0</v>
      </c>
      <c r="F1598" s="3">
        <v>0.0</v>
      </c>
      <c r="G1598" s="3">
        <v>0.0</v>
      </c>
      <c r="H1598" s="3">
        <v>0.0</v>
      </c>
      <c r="I1598" s="2" t="str">
        <f>IFERROR(__xludf.DUMMYFUNCTION("INDEX(SPLIT(A1598, ""/""), 0, 2)"),"regex")</f>
        <v>regex</v>
      </c>
      <c r="J1598" s="2" t="b">
        <f t="shared" si="1"/>
        <v>0</v>
      </c>
    </row>
    <row r="1599">
      <c r="A1599" s="1" t="s">
        <v>953</v>
      </c>
      <c r="B1599" s="3">
        <v>27.0</v>
      </c>
      <c r="C1599" s="3">
        <v>60.0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2" t="str">
        <f>IFERROR(__xludf.DUMMYFUNCTION("INDEX(SPLIT(A1599, ""/""), 0, 2)"),"regex")</f>
        <v>regex</v>
      </c>
      <c r="J1599" s="2" t="b">
        <f t="shared" si="1"/>
        <v>0</v>
      </c>
    </row>
    <row r="1600">
      <c r="A1600" s="1" t="s">
        <v>954</v>
      </c>
      <c r="B1600" s="3">
        <v>110.0</v>
      </c>
      <c r="C1600" s="3">
        <v>60.0</v>
      </c>
      <c r="D1600" s="3">
        <v>0.0</v>
      </c>
      <c r="E1600" s="3">
        <v>0.0</v>
      </c>
      <c r="F1600" s="3">
        <v>0.0</v>
      </c>
      <c r="G1600" s="3">
        <v>0.0</v>
      </c>
      <c r="H1600" s="3">
        <v>0.0</v>
      </c>
      <c r="I1600" s="2" t="str">
        <f>IFERROR(__xludf.DUMMYFUNCTION("INDEX(SPLIT(A1600, ""/""), 0, 2)"),"regex")</f>
        <v>regex</v>
      </c>
      <c r="J1600" s="2" t="b">
        <f t="shared" si="1"/>
        <v>0</v>
      </c>
    </row>
    <row r="1601">
      <c r="A1601" s="1" t="s">
        <v>955</v>
      </c>
      <c r="B1601" s="3">
        <v>10.0</v>
      </c>
      <c r="C1601" s="3">
        <v>60.0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2" t="str">
        <f>IFERROR(__xludf.DUMMYFUNCTION("INDEX(SPLIT(A1601, ""/""), 0, 2)"),"regex")</f>
        <v>regex</v>
      </c>
      <c r="J1601" s="2" t="b">
        <f t="shared" si="1"/>
        <v>0</v>
      </c>
    </row>
    <row r="1602">
      <c r="A1602" s="1" t="s">
        <v>956</v>
      </c>
      <c r="B1602" s="3">
        <v>8.0</v>
      </c>
      <c r="C1602" s="3">
        <v>60.0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2" t="str">
        <f>IFERROR(__xludf.DUMMYFUNCTION("INDEX(SPLIT(A1602, ""/""), 0, 2)"),"regex")</f>
        <v>regex</v>
      </c>
      <c r="J1602" s="2" t="b">
        <f t="shared" si="1"/>
        <v>0</v>
      </c>
    </row>
    <row r="1603">
      <c r="A1603" s="1" t="s">
        <v>957</v>
      </c>
      <c r="B1603" s="3">
        <v>11.0</v>
      </c>
      <c r="C1603" s="3">
        <v>60.0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2" t="str">
        <f>IFERROR(__xludf.DUMMYFUNCTION("INDEX(SPLIT(A1603, ""/""), 0, 2)"),"regex")</f>
        <v>regex</v>
      </c>
      <c r="J1603" s="2" t="b">
        <f t="shared" si="1"/>
        <v>0</v>
      </c>
    </row>
    <row r="1604">
      <c r="A1604" s="1" t="s">
        <v>958</v>
      </c>
      <c r="B1604" s="3">
        <v>37.0</v>
      </c>
      <c r="C1604" s="3">
        <v>60.0</v>
      </c>
      <c r="D1604" s="3">
        <v>0.0</v>
      </c>
      <c r="E1604" s="3">
        <v>0.0</v>
      </c>
      <c r="F1604" s="3">
        <v>0.0</v>
      </c>
      <c r="G1604" s="3">
        <v>0.0</v>
      </c>
      <c r="H1604" s="3">
        <v>0.0</v>
      </c>
      <c r="I1604" s="2" t="str">
        <f>IFERROR(__xludf.DUMMYFUNCTION("INDEX(SPLIT(A1604, ""/""), 0, 2)"),"regex")</f>
        <v>regex</v>
      </c>
      <c r="J1604" s="2" t="b">
        <f t="shared" si="1"/>
        <v>0</v>
      </c>
    </row>
    <row r="1605">
      <c r="A1605" s="1" t="s">
        <v>959</v>
      </c>
      <c r="B1605" s="3">
        <v>36.0</v>
      </c>
      <c r="C1605" s="3">
        <v>60.0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2" t="str">
        <f>IFERROR(__xludf.DUMMYFUNCTION("INDEX(SPLIT(A1605, ""/""), 0, 2)"),"regex")</f>
        <v>regex</v>
      </c>
      <c r="J1605" s="2" t="b">
        <f t="shared" si="1"/>
        <v>0</v>
      </c>
    </row>
    <row r="1606">
      <c r="A1606" s="1" t="s">
        <v>960</v>
      </c>
      <c r="B1606" s="3">
        <v>8.0</v>
      </c>
      <c r="C1606" s="3">
        <v>60.0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2" t="str">
        <f>IFERROR(__xludf.DUMMYFUNCTION("INDEX(SPLIT(A1606, ""/""), 0, 2)"),"regex")</f>
        <v>regex</v>
      </c>
      <c r="J1606" s="2" t="b">
        <f t="shared" si="1"/>
        <v>0</v>
      </c>
    </row>
    <row r="1607">
      <c r="A1607" s="1" t="s">
        <v>961</v>
      </c>
      <c r="B1607" s="3">
        <v>33.0</v>
      </c>
      <c r="C1607" s="3">
        <v>60.0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2" t="str">
        <f>IFERROR(__xludf.DUMMYFUNCTION("INDEX(SPLIT(A1607, ""/""), 0, 2)"),"regex")</f>
        <v>regex</v>
      </c>
      <c r="J1607" s="2" t="b">
        <f t="shared" si="1"/>
        <v>0</v>
      </c>
    </row>
    <row r="1608">
      <c r="A1608" s="1" t="s">
        <v>962</v>
      </c>
      <c r="B1608" s="3">
        <v>49.0</v>
      </c>
      <c r="C1608" s="3">
        <v>60.0</v>
      </c>
      <c r="D1608" s="3">
        <v>0.0</v>
      </c>
      <c r="E1608" s="3">
        <v>0.0</v>
      </c>
      <c r="F1608" s="3">
        <v>0.0</v>
      </c>
      <c r="G1608" s="3">
        <v>0.0</v>
      </c>
      <c r="H1608" s="3">
        <v>0.0</v>
      </c>
      <c r="I1608" s="2" t="str">
        <f>IFERROR(__xludf.DUMMYFUNCTION("INDEX(SPLIT(A1608, ""/""), 0, 2)"),"regex")</f>
        <v>regex</v>
      </c>
      <c r="J1608" s="2" t="b">
        <f t="shared" si="1"/>
        <v>0</v>
      </c>
    </row>
    <row r="1609">
      <c r="A1609" s="1" t="s">
        <v>963</v>
      </c>
      <c r="B1609" s="3">
        <v>14.0</v>
      </c>
      <c r="C1609" s="3">
        <v>60.0</v>
      </c>
      <c r="D1609" s="3">
        <v>0.0</v>
      </c>
      <c r="E1609" s="3">
        <v>0.0</v>
      </c>
      <c r="F1609" s="3">
        <v>0.0</v>
      </c>
      <c r="G1609" s="3">
        <v>0.0</v>
      </c>
      <c r="H1609" s="3">
        <v>0.0</v>
      </c>
      <c r="I1609" s="2" t="str">
        <f>IFERROR(__xludf.DUMMYFUNCTION("INDEX(SPLIT(A1609, ""/""), 0, 2)"),"regex")</f>
        <v>regex</v>
      </c>
      <c r="J1609" s="2" t="b">
        <f t="shared" si="1"/>
        <v>0</v>
      </c>
    </row>
    <row r="1610">
      <c r="A1610" s="1" t="s">
        <v>964</v>
      </c>
      <c r="B1610" s="3">
        <v>36.0</v>
      </c>
      <c r="C1610" s="3">
        <v>60.0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2" t="str">
        <f>IFERROR(__xludf.DUMMYFUNCTION("INDEX(SPLIT(A1610, ""/""), 0, 2)"),"regex")</f>
        <v>regex</v>
      </c>
      <c r="J1610" s="2" t="b">
        <f t="shared" si="1"/>
        <v>0</v>
      </c>
    </row>
    <row r="1611">
      <c r="A1611" s="1" t="s">
        <v>965</v>
      </c>
      <c r="B1611" s="3">
        <v>8.0</v>
      </c>
      <c r="C1611" s="3">
        <v>60.0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2" t="str">
        <f>IFERROR(__xludf.DUMMYFUNCTION("INDEX(SPLIT(A1611, ""/""), 0, 2)"),"regex")</f>
        <v>regex</v>
      </c>
      <c r="J1611" s="2" t="b">
        <f t="shared" si="1"/>
        <v>0</v>
      </c>
    </row>
    <row r="1612">
      <c r="A1612" s="1" t="s">
        <v>966</v>
      </c>
      <c r="B1612" s="3">
        <v>68.0</v>
      </c>
      <c r="C1612" s="3">
        <v>60.0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2" t="str">
        <f>IFERROR(__xludf.DUMMYFUNCTION("INDEX(SPLIT(A1612, ""/""), 0, 2)"),"regex")</f>
        <v>regex</v>
      </c>
      <c r="J1612" s="2" t="b">
        <f t="shared" si="1"/>
        <v>0</v>
      </c>
    </row>
    <row r="1613">
      <c r="A1613" s="1" t="s">
        <v>967</v>
      </c>
      <c r="B1613" s="3">
        <v>54.0</v>
      </c>
      <c r="C1613" s="3">
        <v>60.0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2" t="str">
        <f>IFERROR(__xludf.DUMMYFUNCTION("INDEX(SPLIT(A1613, ""/""), 0, 2)"),"regex")</f>
        <v>regex</v>
      </c>
      <c r="J1613" s="2" t="b">
        <f t="shared" si="1"/>
        <v>0</v>
      </c>
    </row>
    <row r="1614">
      <c r="A1614" s="1" t="s">
        <v>968</v>
      </c>
      <c r="B1614" s="3">
        <v>4.0</v>
      </c>
      <c r="C1614" s="3">
        <v>60.0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2" t="str">
        <f>IFERROR(__xludf.DUMMYFUNCTION("INDEX(SPLIT(A1614, ""/""), 0, 2)"),"regex")</f>
        <v>regex</v>
      </c>
      <c r="J1614" s="2" t="b">
        <f t="shared" si="1"/>
        <v>0</v>
      </c>
    </row>
    <row r="1615">
      <c r="A1615" s="1" t="s">
        <v>969</v>
      </c>
      <c r="B1615" s="3">
        <v>50.0</v>
      </c>
      <c r="C1615" s="3">
        <v>60.0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2" t="str">
        <f>IFERROR(__xludf.DUMMYFUNCTION("INDEX(SPLIT(A1615, ""/""), 0, 2)"),"regex")</f>
        <v>regex</v>
      </c>
      <c r="J1615" s="2" t="b">
        <f t="shared" si="1"/>
        <v>0</v>
      </c>
    </row>
    <row r="1616">
      <c r="A1616" s="1" t="s">
        <v>970</v>
      </c>
      <c r="B1616" s="3">
        <v>34.0</v>
      </c>
      <c r="C1616" s="3">
        <v>60.0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2" t="str">
        <f>IFERROR(__xludf.DUMMYFUNCTION("INDEX(SPLIT(A1616, ""/""), 0, 2)"),"regex")</f>
        <v>regex</v>
      </c>
      <c r="J1616" s="2" t="b">
        <f t="shared" si="1"/>
        <v>0</v>
      </c>
    </row>
    <row r="1617">
      <c r="A1617" s="1" t="s">
        <v>971</v>
      </c>
      <c r="B1617" s="3">
        <v>5.0</v>
      </c>
      <c r="C1617" s="3">
        <v>60.0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2" t="str">
        <f>IFERROR(__xludf.DUMMYFUNCTION("INDEX(SPLIT(A1617, ""/""), 0, 2)"),"regex")</f>
        <v>regex</v>
      </c>
      <c r="J1617" s="2" t="b">
        <f t="shared" si="1"/>
        <v>0</v>
      </c>
    </row>
    <row r="1618">
      <c r="A1618" s="1" t="s">
        <v>972</v>
      </c>
      <c r="B1618" s="3">
        <v>284.0</v>
      </c>
      <c r="C1618" s="3">
        <v>60.0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2" t="str">
        <f>IFERROR(__xludf.DUMMYFUNCTION("INDEX(SPLIT(A1618, ""/""), 0, 2)"),"regex")</f>
        <v>regex</v>
      </c>
      <c r="J1618" s="2" t="b">
        <f t="shared" si="1"/>
        <v>0</v>
      </c>
    </row>
    <row r="1619">
      <c r="A1619" s="1" t="s">
        <v>973</v>
      </c>
      <c r="B1619" s="3">
        <v>51.0</v>
      </c>
      <c r="C1619" s="3">
        <v>60.0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2" t="str">
        <f>IFERROR(__xludf.DUMMYFUNCTION("INDEX(SPLIT(A1619, ""/""), 0, 2)"),"regex")</f>
        <v>regex</v>
      </c>
      <c r="J1619" s="2" t="b">
        <f t="shared" si="1"/>
        <v>0</v>
      </c>
    </row>
    <row r="1620">
      <c r="A1620" s="1" t="s">
        <v>974</v>
      </c>
      <c r="B1620" s="3">
        <v>18.0</v>
      </c>
      <c r="C1620" s="3">
        <v>60.0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2" t="str">
        <f>IFERROR(__xludf.DUMMYFUNCTION("INDEX(SPLIT(A1620, ""/""), 0, 2)"),"regex")</f>
        <v>regex</v>
      </c>
      <c r="J1620" s="2" t="b">
        <f t="shared" si="1"/>
        <v>0</v>
      </c>
    </row>
    <row r="1621">
      <c r="A1621" s="1" t="s">
        <v>975</v>
      </c>
      <c r="B1621" s="3">
        <v>10.0</v>
      </c>
      <c r="C1621" s="3">
        <v>60.0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2" t="str">
        <f>IFERROR(__xludf.DUMMYFUNCTION("INDEX(SPLIT(A1621, ""/""), 0, 2)"),"regex")</f>
        <v>regex</v>
      </c>
      <c r="J1621" s="2" t="b">
        <f t="shared" si="1"/>
        <v>0</v>
      </c>
    </row>
    <row r="1622">
      <c r="A1622" s="1" t="s">
        <v>976</v>
      </c>
      <c r="B1622" s="3">
        <v>633.0</v>
      </c>
      <c r="C1622" s="3">
        <v>60.0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2" t="str">
        <f>IFERROR(__xludf.DUMMYFUNCTION("INDEX(SPLIT(A1622, ""/""), 0, 2)"),"regex")</f>
        <v>regex</v>
      </c>
      <c r="J1622" s="2" t="b">
        <f t="shared" si="1"/>
        <v>0</v>
      </c>
    </row>
    <row r="1623">
      <c r="A1623" s="1" t="s">
        <v>977</v>
      </c>
      <c r="B1623" s="3">
        <v>36.0</v>
      </c>
      <c r="C1623" s="3">
        <v>60.0</v>
      </c>
      <c r="D1623" s="3">
        <v>0.0</v>
      </c>
      <c r="E1623" s="3">
        <v>0.0</v>
      </c>
      <c r="F1623" s="3">
        <v>0.0</v>
      </c>
      <c r="G1623" s="3">
        <v>0.0</v>
      </c>
      <c r="H1623" s="3">
        <v>0.0</v>
      </c>
      <c r="I1623" s="2" t="str">
        <f>IFERROR(__xludf.DUMMYFUNCTION("INDEX(SPLIT(A1623, ""/""), 0, 2)"),"regex")</f>
        <v>regex</v>
      </c>
      <c r="J1623" s="2" t="b">
        <f t="shared" si="1"/>
        <v>0</v>
      </c>
    </row>
    <row r="1624">
      <c r="A1624" s="1" t="s">
        <v>978</v>
      </c>
      <c r="B1624" s="3">
        <v>418.0</v>
      </c>
      <c r="C1624" s="3">
        <v>60.0</v>
      </c>
      <c r="D1624" s="3">
        <v>3.0</v>
      </c>
      <c r="E1624" s="3">
        <v>0.0</v>
      </c>
      <c r="F1624" s="3">
        <v>0.0</v>
      </c>
      <c r="G1624" s="3">
        <v>0.0</v>
      </c>
      <c r="H1624" s="3">
        <v>0.0</v>
      </c>
      <c r="I1624" s="2" t="str">
        <f>IFERROR(__xludf.DUMMYFUNCTION("INDEX(SPLIT(A1624, ""/""), 0, 2)"),"regex")</f>
        <v>regex</v>
      </c>
      <c r="J1624" s="2" t="b">
        <f t="shared" si="1"/>
        <v>0</v>
      </c>
    </row>
    <row r="1625">
      <c r="A1625" s="1" t="s">
        <v>979</v>
      </c>
      <c r="B1625" s="3">
        <v>22.0</v>
      </c>
      <c r="C1625" s="3">
        <v>60.0</v>
      </c>
      <c r="D1625" s="3">
        <v>0.0</v>
      </c>
      <c r="E1625" s="3">
        <v>0.0</v>
      </c>
      <c r="F1625" s="3">
        <v>0.0</v>
      </c>
      <c r="G1625" s="3">
        <v>0.0</v>
      </c>
      <c r="H1625" s="3">
        <v>0.0</v>
      </c>
      <c r="I1625" s="2" t="str">
        <f>IFERROR(__xludf.DUMMYFUNCTION("INDEX(SPLIT(A1625, ""/""), 0, 2)"),"regex")</f>
        <v>regex</v>
      </c>
      <c r="J1625" s="2" t="b">
        <f t="shared" si="1"/>
        <v>0</v>
      </c>
    </row>
    <row r="1626">
      <c r="A1626" s="1" t="s">
        <v>980</v>
      </c>
      <c r="B1626" s="3">
        <v>37.0</v>
      </c>
      <c r="C1626" s="3">
        <v>60.0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2" t="str">
        <f>IFERROR(__xludf.DUMMYFUNCTION("INDEX(SPLIT(A1626, ""/""), 0, 2)"),"regex")</f>
        <v>regex</v>
      </c>
      <c r="J1626" s="2" t="b">
        <f t="shared" si="1"/>
        <v>0</v>
      </c>
    </row>
    <row r="1627">
      <c r="A1627" s="1" t="s">
        <v>981</v>
      </c>
      <c r="B1627" s="3">
        <v>22.0</v>
      </c>
      <c r="C1627" s="3">
        <v>60.0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2" t="str">
        <f>IFERROR(__xludf.DUMMYFUNCTION("INDEX(SPLIT(A1627, ""/""), 0, 2)"),"regex")</f>
        <v>regex</v>
      </c>
      <c r="J1627" s="2" t="b">
        <f t="shared" si="1"/>
        <v>0</v>
      </c>
    </row>
    <row r="1628">
      <c r="A1628" s="1" t="s">
        <v>982</v>
      </c>
      <c r="B1628" s="3">
        <v>44.0</v>
      </c>
      <c r="C1628" s="3">
        <v>60.0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2" t="str">
        <f>IFERROR(__xludf.DUMMYFUNCTION("INDEX(SPLIT(A1628, ""/""), 0, 2)"),"regex")</f>
        <v>regex</v>
      </c>
      <c r="J1628" s="2" t="b">
        <f t="shared" si="1"/>
        <v>0</v>
      </c>
    </row>
    <row r="1629">
      <c r="A1629" s="1" t="s">
        <v>983</v>
      </c>
      <c r="B1629" s="3">
        <v>327.0</v>
      </c>
      <c r="C1629" s="3">
        <v>60.0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2" t="str">
        <f>IFERROR(__xludf.DUMMYFUNCTION("INDEX(SPLIT(A1629, ""/""), 0, 2)"),"regex")</f>
        <v>regex</v>
      </c>
      <c r="J1629" s="2" t="b">
        <f t="shared" si="1"/>
        <v>0</v>
      </c>
    </row>
    <row r="1630">
      <c r="A1630" s="1" t="s">
        <v>984</v>
      </c>
      <c r="B1630" s="3">
        <v>87.0</v>
      </c>
      <c r="C1630" s="3">
        <v>60.0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2" t="str">
        <f>IFERROR(__xludf.DUMMYFUNCTION("INDEX(SPLIT(A1630, ""/""), 0, 2)"),"regex")</f>
        <v>regex</v>
      </c>
      <c r="J1630" s="2" t="b">
        <f t="shared" si="1"/>
        <v>0</v>
      </c>
    </row>
    <row r="1631">
      <c r="A1631" s="1" t="s">
        <v>985</v>
      </c>
      <c r="B1631" s="3">
        <v>20.0</v>
      </c>
      <c r="C1631" s="3">
        <v>60.0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2" t="str">
        <f>IFERROR(__xludf.DUMMYFUNCTION("INDEX(SPLIT(A1631, ""/""), 0, 2)"),"regex")</f>
        <v>regex</v>
      </c>
      <c r="J1631" s="2" t="b">
        <f t="shared" si="1"/>
        <v>0</v>
      </c>
    </row>
    <row r="1632">
      <c r="A1632" s="1" t="s">
        <v>986</v>
      </c>
      <c r="B1632" s="3">
        <v>50.0</v>
      </c>
      <c r="C1632" s="3">
        <v>60.0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2" t="str">
        <f>IFERROR(__xludf.DUMMYFUNCTION("INDEX(SPLIT(A1632, ""/""), 0, 2)"),"regex")</f>
        <v>regex</v>
      </c>
      <c r="J1632" s="2" t="b">
        <f t="shared" si="1"/>
        <v>0</v>
      </c>
    </row>
    <row r="1633">
      <c r="A1633" s="1" t="s">
        <v>987</v>
      </c>
      <c r="B1633" s="3">
        <v>40.0</v>
      </c>
      <c r="C1633" s="3">
        <v>60.0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2" t="str">
        <f>IFERROR(__xludf.DUMMYFUNCTION("INDEX(SPLIT(A1633, ""/""), 0, 2)"),"regex")</f>
        <v>regex</v>
      </c>
      <c r="J1633" s="2" t="b">
        <f t="shared" si="1"/>
        <v>0</v>
      </c>
    </row>
    <row r="1634">
      <c r="A1634" s="1" t="s">
        <v>988</v>
      </c>
      <c r="B1634" s="3">
        <v>165.0</v>
      </c>
      <c r="C1634" s="3">
        <v>60.0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2" t="str">
        <f>IFERROR(__xludf.DUMMYFUNCTION("INDEX(SPLIT(A1634, ""/""), 0, 2)"),"regex")</f>
        <v>regex</v>
      </c>
      <c r="J1634" s="2" t="b">
        <f t="shared" si="1"/>
        <v>0</v>
      </c>
    </row>
    <row r="1635">
      <c r="A1635" s="1" t="s">
        <v>989</v>
      </c>
      <c r="B1635" s="3">
        <v>9.0</v>
      </c>
      <c r="C1635" s="3">
        <v>60.0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2" t="str">
        <f>IFERROR(__xludf.DUMMYFUNCTION("INDEX(SPLIT(A1635, ""/""), 0, 2)"),"regex")</f>
        <v>regex</v>
      </c>
      <c r="J1635" s="2" t="b">
        <f t="shared" si="1"/>
        <v>0</v>
      </c>
    </row>
    <row r="1636">
      <c r="A1636" s="1" t="s">
        <v>990</v>
      </c>
      <c r="B1636" s="3">
        <v>163.0</v>
      </c>
      <c r="C1636" s="3">
        <v>60.0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2" t="str">
        <f>IFERROR(__xludf.DUMMYFUNCTION("INDEX(SPLIT(A1636, ""/""), 0, 2)"),"regex")</f>
        <v>regex</v>
      </c>
      <c r="J1636" s="2" t="b">
        <f t="shared" si="1"/>
        <v>0</v>
      </c>
    </row>
    <row r="1637">
      <c r="A1637" s="1" t="s">
        <v>991</v>
      </c>
      <c r="B1637" s="3">
        <v>24.0</v>
      </c>
      <c r="C1637" s="3">
        <v>60.0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2" t="str">
        <f>IFERROR(__xludf.DUMMYFUNCTION("INDEX(SPLIT(A1637, ""/""), 0, 2)"),"regex")</f>
        <v>regex</v>
      </c>
      <c r="J1637" s="2" t="b">
        <f t="shared" si="1"/>
        <v>0</v>
      </c>
    </row>
    <row r="1638">
      <c r="A1638" s="1" t="s">
        <v>992</v>
      </c>
      <c r="B1638" s="3">
        <v>51.0</v>
      </c>
      <c r="C1638" s="3">
        <v>60.0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2" t="str">
        <f>IFERROR(__xludf.DUMMYFUNCTION("INDEX(SPLIT(A1638, ""/""), 0, 2)"),"regex")</f>
        <v>regex</v>
      </c>
      <c r="J1638" s="2" t="b">
        <f t="shared" si="1"/>
        <v>0</v>
      </c>
    </row>
    <row r="1639">
      <c r="A1639" s="1" t="s">
        <v>993</v>
      </c>
      <c r="B1639" s="3">
        <v>72.0</v>
      </c>
      <c r="C1639" s="3">
        <v>60.0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2" t="str">
        <f>IFERROR(__xludf.DUMMYFUNCTION("INDEX(SPLIT(A1639, ""/""), 0, 2)"),"regex")</f>
        <v>regex</v>
      </c>
      <c r="J1639" s="2" t="b">
        <f t="shared" si="1"/>
        <v>0</v>
      </c>
    </row>
    <row r="1640">
      <c r="A1640" s="1" t="s">
        <v>994</v>
      </c>
      <c r="B1640" s="3">
        <v>49.0</v>
      </c>
      <c r="C1640" s="3">
        <v>60.0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2" t="str">
        <f>IFERROR(__xludf.DUMMYFUNCTION("INDEX(SPLIT(A1640, ""/""), 0, 2)"),"regex")</f>
        <v>regex</v>
      </c>
      <c r="J1640" s="2" t="b">
        <f t="shared" si="1"/>
        <v>0</v>
      </c>
    </row>
    <row r="1641">
      <c r="A1641" s="1" t="s">
        <v>995</v>
      </c>
      <c r="B1641" s="3">
        <v>21.0</v>
      </c>
      <c r="C1641" s="3">
        <v>60.0</v>
      </c>
      <c r="D1641" s="3">
        <v>0.0</v>
      </c>
      <c r="E1641" s="3">
        <v>0.0</v>
      </c>
      <c r="F1641" s="3">
        <v>0.0</v>
      </c>
      <c r="G1641" s="3">
        <v>0.0</v>
      </c>
      <c r="H1641" s="3">
        <v>0.0</v>
      </c>
      <c r="I1641" s="2" t="str">
        <f>IFERROR(__xludf.DUMMYFUNCTION("INDEX(SPLIT(A1641, ""/""), 0, 2)"),"regex")</f>
        <v>regex</v>
      </c>
      <c r="J1641" s="2" t="b">
        <f t="shared" si="1"/>
        <v>0</v>
      </c>
    </row>
    <row r="1642">
      <c r="A1642" s="1" t="s">
        <v>996</v>
      </c>
      <c r="B1642" s="3">
        <v>26.0</v>
      </c>
      <c r="C1642" s="3">
        <v>60.0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2" t="str">
        <f>IFERROR(__xludf.DUMMYFUNCTION("INDEX(SPLIT(A1642, ""/""), 0, 2)"),"regex")</f>
        <v>regex</v>
      </c>
      <c r="J1642" s="2" t="b">
        <f t="shared" si="1"/>
        <v>0</v>
      </c>
    </row>
    <row r="1643">
      <c r="A1643" s="1" t="s">
        <v>997</v>
      </c>
      <c r="B1643" s="3">
        <v>60.0</v>
      </c>
      <c r="C1643" s="3">
        <v>60.0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2" t="str">
        <f>IFERROR(__xludf.DUMMYFUNCTION("INDEX(SPLIT(A1643, ""/""), 0, 2)"),"regex")</f>
        <v>regex</v>
      </c>
      <c r="J1643" s="2" t="b">
        <f t="shared" si="1"/>
        <v>0</v>
      </c>
    </row>
    <row r="1644">
      <c r="A1644" s="1" t="s">
        <v>998</v>
      </c>
      <c r="B1644" s="3">
        <v>17.0</v>
      </c>
      <c r="C1644" s="3">
        <v>60.0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2" t="str">
        <f>IFERROR(__xludf.DUMMYFUNCTION("INDEX(SPLIT(A1644, ""/""), 0, 2)"),"regex")</f>
        <v>regex</v>
      </c>
      <c r="J1644" s="2" t="b">
        <f t="shared" si="1"/>
        <v>0</v>
      </c>
    </row>
    <row r="1645">
      <c r="A1645" s="1" t="s">
        <v>999</v>
      </c>
      <c r="B1645" s="3">
        <v>120.0</v>
      </c>
      <c r="C1645" s="3">
        <v>60.0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2" t="str">
        <f>IFERROR(__xludf.DUMMYFUNCTION("INDEX(SPLIT(A1645, ""/""), 0, 2)"),"regex")</f>
        <v>regex</v>
      </c>
      <c r="J1645" s="2" t="b">
        <f t="shared" si="1"/>
        <v>0</v>
      </c>
    </row>
    <row r="1646">
      <c r="A1646" s="1" t="s">
        <v>1000</v>
      </c>
      <c r="B1646" s="3">
        <v>48.0</v>
      </c>
      <c r="C1646" s="3">
        <v>60.0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2" t="str">
        <f>IFERROR(__xludf.DUMMYFUNCTION("INDEX(SPLIT(A1646, ""/""), 0, 2)"),"regex")</f>
        <v>regex</v>
      </c>
      <c r="J1646" s="2" t="b">
        <f t="shared" si="1"/>
        <v>0</v>
      </c>
    </row>
    <row r="1647">
      <c r="A1647" s="1" t="s">
        <v>1001</v>
      </c>
      <c r="B1647" s="3">
        <v>44.0</v>
      </c>
      <c r="C1647" s="3">
        <v>60.0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2" t="str">
        <f>IFERROR(__xludf.DUMMYFUNCTION("INDEX(SPLIT(A1647, ""/""), 0, 2)"),"regex")</f>
        <v>regex</v>
      </c>
      <c r="J1647" s="2" t="b">
        <f t="shared" si="1"/>
        <v>0</v>
      </c>
    </row>
    <row r="1648">
      <c r="A1648" s="1" t="s">
        <v>1002</v>
      </c>
      <c r="B1648" s="3">
        <v>12.0</v>
      </c>
      <c r="C1648" s="3">
        <v>60.0</v>
      </c>
      <c r="D1648" s="3">
        <v>0.0</v>
      </c>
      <c r="E1648" s="3">
        <v>0.0</v>
      </c>
      <c r="F1648" s="3">
        <v>0.0</v>
      </c>
      <c r="G1648" s="3">
        <v>0.0</v>
      </c>
      <c r="H1648" s="3">
        <v>0.0</v>
      </c>
      <c r="I1648" s="2" t="str">
        <f>IFERROR(__xludf.DUMMYFUNCTION("INDEX(SPLIT(A1648, ""/""), 0, 2)"),"regex")</f>
        <v>regex</v>
      </c>
      <c r="J1648" s="2" t="b">
        <f t="shared" si="1"/>
        <v>0</v>
      </c>
    </row>
    <row r="1649">
      <c r="A1649" s="1" t="s">
        <v>1003</v>
      </c>
      <c r="B1649" s="3">
        <v>38.0</v>
      </c>
      <c r="C1649" s="3">
        <v>60.0</v>
      </c>
      <c r="D1649" s="3">
        <v>0.0</v>
      </c>
      <c r="E1649" s="3">
        <v>0.0</v>
      </c>
      <c r="F1649" s="3">
        <v>0.0</v>
      </c>
      <c r="G1649" s="3">
        <v>0.0</v>
      </c>
      <c r="H1649" s="3">
        <v>0.0</v>
      </c>
      <c r="I1649" s="2" t="str">
        <f>IFERROR(__xludf.DUMMYFUNCTION("INDEX(SPLIT(A1649, ""/""), 0, 2)"),"regex")</f>
        <v>regex</v>
      </c>
      <c r="J1649" s="2" t="b">
        <f t="shared" si="1"/>
        <v>0</v>
      </c>
    </row>
    <row r="1650">
      <c r="A1650" s="1" t="s">
        <v>1004</v>
      </c>
      <c r="B1650" s="3">
        <v>63.0</v>
      </c>
      <c r="C1650" s="3">
        <v>60.0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2" t="str">
        <f>IFERROR(__xludf.DUMMYFUNCTION("INDEX(SPLIT(A1650, ""/""), 0, 2)"),"regex")</f>
        <v>regex</v>
      </c>
      <c r="J1650" s="2" t="b">
        <f t="shared" si="1"/>
        <v>0</v>
      </c>
    </row>
    <row r="1651">
      <c r="A1651" s="1" t="s">
        <v>1005</v>
      </c>
      <c r="B1651" s="3">
        <v>7.0</v>
      </c>
      <c r="C1651" s="3">
        <v>60.0</v>
      </c>
      <c r="D1651" s="3">
        <v>0.0</v>
      </c>
      <c r="E1651" s="3">
        <v>0.0</v>
      </c>
      <c r="F1651" s="3">
        <v>0.0</v>
      </c>
      <c r="G1651" s="3">
        <v>0.0</v>
      </c>
      <c r="H1651" s="3">
        <v>0.0</v>
      </c>
      <c r="I1651" s="2" t="str">
        <f>IFERROR(__xludf.DUMMYFUNCTION("INDEX(SPLIT(A1651, ""/""), 0, 2)"),"regex")</f>
        <v>regex</v>
      </c>
      <c r="J1651" s="2" t="b">
        <f t="shared" si="1"/>
        <v>0</v>
      </c>
    </row>
    <row r="1652">
      <c r="A1652" s="1" t="s">
        <v>1006</v>
      </c>
      <c r="B1652" s="3">
        <v>103.0</v>
      </c>
      <c r="C1652" s="3">
        <v>60.0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2" t="str">
        <f>IFERROR(__xludf.DUMMYFUNCTION("INDEX(SPLIT(A1652, ""/""), 0, 2)"),"regex")</f>
        <v>regex</v>
      </c>
      <c r="J1652" s="2" t="b">
        <f t="shared" si="1"/>
        <v>0</v>
      </c>
    </row>
    <row r="1653">
      <c r="A1653" s="1" t="s">
        <v>1007</v>
      </c>
      <c r="B1653" s="3">
        <v>16.0</v>
      </c>
      <c r="C1653" s="3">
        <v>60.0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2" t="str">
        <f>IFERROR(__xludf.DUMMYFUNCTION("INDEX(SPLIT(A1653, ""/""), 0, 2)"),"regex")</f>
        <v>regex</v>
      </c>
      <c r="J1653" s="2" t="b">
        <f t="shared" si="1"/>
        <v>0</v>
      </c>
    </row>
    <row r="1654">
      <c r="A1654" s="1" t="s">
        <v>1008</v>
      </c>
      <c r="B1654" s="3">
        <v>55.0</v>
      </c>
      <c r="C1654" s="3">
        <v>60.0</v>
      </c>
      <c r="D1654" s="3">
        <v>0.0</v>
      </c>
      <c r="E1654" s="3">
        <v>0.0</v>
      </c>
      <c r="F1654" s="3">
        <v>0.0</v>
      </c>
      <c r="G1654" s="3">
        <v>0.0</v>
      </c>
      <c r="H1654" s="3">
        <v>0.0</v>
      </c>
      <c r="I1654" s="2" t="str">
        <f>IFERROR(__xludf.DUMMYFUNCTION("INDEX(SPLIT(A1654, ""/""), 0, 2)"),"regex")</f>
        <v>regex</v>
      </c>
      <c r="J1654" s="2" t="b">
        <f t="shared" si="1"/>
        <v>0</v>
      </c>
    </row>
    <row r="1655">
      <c r="A1655" s="1" t="s">
        <v>1009</v>
      </c>
      <c r="B1655" s="3">
        <v>39.0</v>
      </c>
      <c r="C1655" s="3">
        <v>60.0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2" t="str">
        <f>IFERROR(__xludf.DUMMYFUNCTION("INDEX(SPLIT(A1655, ""/""), 0, 2)"),"regex")</f>
        <v>regex</v>
      </c>
      <c r="J1655" s="2" t="b">
        <f t="shared" si="1"/>
        <v>0</v>
      </c>
    </row>
    <row r="1656">
      <c r="A1656" s="1" t="s">
        <v>1010</v>
      </c>
      <c r="B1656" s="3">
        <v>50.0</v>
      </c>
      <c r="C1656" s="3">
        <v>60.0</v>
      </c>
      <c r="D1656" s="3">
        <v>0.0</v>
      </c>
      <c r="E1656" s="3">
        <v>0.0</v>
      </c>
      <c r="F1656" s="3">
        <v>0.0</v>
      </c>
      <c r="G1656" s="3">
        <v>0.0</v>
      </c>
      <c r="H1656" s="3">
        <v>0.0</v>
      </c>
      <c r="I1656" s="2" t="str">
        <f>IFERROR(__xludf.DUMMYFUNCTION("INDEX(SPLIT(A1656, ""/""), 0, 2)"),"regex")</f>
        <v>regex</v>
      </c>
      <c r="J1656" s="2" t="b">
        <f t="shared" si="1"/>
        <v>0</v>
      </c>
    </row>
    <row r="1657">
      <c r="A1657" s="1" t="s">
        <v>1011</v>
      </c>
      <c r="B1657" s="3">
        <v>24.0</v>
      </c>
      <c r="C1657" s="3">
        <v>60.0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2" t="str">
        <f>IFERROR(__xludf.DUMMYFUNCTION("INDEX(SPLIT(A1657, ""/""), 0, 2)"),"regex")</f>
        <v>regex</v>
      </c>
      <c r="J1657" s="2" t="b">
        <f t="shared" si="1"/>
        <v>0</v>
      </c>
    </row>
    <row r="1658">
      <c r="A1658" s="1" t="s">
        <v>1012</v>
      </c>
      <c r="B1658" s="3">
        <v>45.0</v>
      </c>
      <c r="C1658" s="3">
        <v>60.0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2" t="str">
        <f>IFERROR(__xludf.DUMMYFUNCTION("INDEX(SPLIT(A1658, ""/""), 0, 2)"),"regex")</f>
        <v>regex</v>
      </c>
      <c r="J1658" s="2" t="b">
        <f t="shared" si="1"/>
        <v>0</v>
      </c>
    </row>
    <row r="1659">
      <c r="A1659" s="1" t="s">
        <v>1013</v>
      </c>
      <c r="B1659" s="3">
        <v>9.0</v>
      </c>
      <c r="C1659" s="3">
        <v>60.0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2" t="str">
        <f>IFERROR(__xludf.DUMMYFUNCTION("INDEX(SPLIT(A1659, ""/""), 0, 2)"),"regex")</f>
        <v>regex</v>
      </c>
      <c r="J1659" s="2" t="b">
        <f t="shared" si="1"/>
        <v>0</v>
      </c>
    </row>
    <row r="1660">
      <c r="A1660" s="1" t="s">
        <v>1014</v>
      </c>
      <c r="B1660" s="3">
        <v>13.0</v>
      </c>
      <c r="C1660" s="3">
        <v>60.0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2" t="str">
        <f>IFERROR(__xludf.DUMMYFUNCTION("INDEX(SPLIT(A1660, ""/""), 0, 2)"),"regex")</f>
        <v>regex</v>
      </c>
      <c r="J1660" s="2" t="b">
        <f t="shared" si="1"/>
        <v>0</v>
      </c>
    </row>
    <row r="1661">
      <c r="A1661" s="1" t="s">
        <v>1015</v>
      </c>
      <c r="B1661" s="3">
        <v>27.0</v>
      </c>
      <c r="C1661" s="3">
        <v>60.0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2" t="str">
        <f>IFERROR(__xludf.DUMMYFUNCTION("INDEX(SPLIT(A1661, ""/""), 0, 2)"),"regex")</f>
        <v>regex</v>
      </c>
      <c r="J1661" s="2" t="b">
        <f t="shared" si="1"/>
        <v>0</v>
      </c>
    </row>
    <row r="1662">
      <c r="A1662" s="1" t="s">
        <v>1016</v>
      </c>
      <c r="B1662" s="3">
        <v>47.0</v>
      </c>
      <c r="C1662" s="3">
        <v>60.0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2" t="str">
        <f>IFERROR(__xludf.DUMMYFUNCTION("INDEX(SPLIT(A1662, ""/""), 0, 2)"),"regex")</f>
        <v>regex</v>
      </c>
      <c r="J1662" s="2" t="b">
        <f t="shared" si="1"/>
        <v>0</v>
      </c>
    </row>
    <row r="1663">
      <c r="A1663" s="1" t="s">
        <v>1017</v>
      </c>
      <c r="B1663" s="3">
        <v>13.0</v>
      </c>
      <c r="C1663" s="3">
        <v>60.0</v>
      </c>
      <c r="D1663" s="3">
        <v>0.0</v>
      </c>
      <c r="E1663" s="3">
        <v>0.0</v>
      </c>
      <c r="F1663" s="3">
        <v>0.0</v>
      </c>
      <c r="G1663" s="3">
        <v>0.0</v>
      </c>
      <c r="H1663" s="3">
        <v>0.0</v>
      </c>
      <c r="I1663" s="2" t="str">
        <f>IFERROR(__xludf.DUMMYFUNCTION("INDEX(SPLIT(A1663, ""/""), 0, 2)"),"regex")</f>
        <v>regex</v>
      </c>
      <c r="J1663" s="2" t="b">
        <f t="shared" si="1"/>
        <v>0</v>
      </c>
    </row>
    <row r="1664">
      <c r="A1664" s="1" t="s">
        <v>1018</v>
      </c>
      <c r="B1664" s="3">
        <v>15.0</v>
      </c>
      <c r="C1664" s="3">
        <v>60.0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2" t="str">
        <f>IFERROR(__xludf.DUMMYFUNCTION("INDEX(SPLIT(A1664, ""/""), 0, 2)"),"regex")</f>
        <v>regex</v>
      </c>
      <c r="J1664" s="2" t="b">
        <f t="shared" si="1"/>
        <v>0</v>
      </c>
    </row>
    <row r="1665">
      <c r="A1665" s="1" t="s">
        <v>1019</v>
      </c>
      <c r="B1665" s="3">
        <v>42.0</v>
      </c>
      <c r="C1665" s="3">
        <v>60.0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2" t="str">
        <f>IFERROR(__xludf.DUMMYFUNCTION("INDEX(SPLIT(A1665, ""/""), 0, 2)"),"regex")</f>
        <v>regex</v>
      </c>
      <c r="J1665" s="2" t="b">
        <f t="shared" si="1"/>
        <v>0</v>
      </c>
    </row>
    <row r="1666">
      <c r="A1666" s="1" t="s">
        <v>1020</v>
      </c>
      <c r="B1666" s="3">
        <v>33.0</v>
      </c>
      <c r="C1666" s="3">
        <v>60.0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2" t="str">
        <f>IFERROR(__xludf.DUMMYFUNCTION("INDEX(SPLIT(A1666, ""/""), 0, 2)"),"regex")</f>
        <v>regex</v>
      </c>
      <c r="J1666" s="2" t="b">
        <f t="shared" si="1"/>
        <v>0</v>
      </c>
    </row>
    <row r="1667">
      <c r="A1667" s="1" t="s">
        <v>1021</v>
      </c>
      <c r="B1667" s="3">
        <v>22.0</v>
      </c>
      <c r="C1667" s="3">
        <v>60.0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2" t="str">
        <f>IFERROR(__xludf.DUMMYFUNCTION("INDEX(SPLIT(A1667, ""/""), 0, 2)"),"regex")</f>
        <v>regex</v>
      </c>
      <c r="J1667" s="2" t="b">
        <f t="shared" si="1"/>
        <v>0</v>
      </c>
    </row>
    <row r="1668">
      <c r="A1668" s="1" t="s">
        <v>1022</v>
      </c>
      <c r="B1668" s="3">
        <v>87.0</v>
      </c>
      <c r="C1668" s="3">
        <v>60.0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2" t="str">
        <f>IFERROR(__xludf.DUMMYFUNCTION("INDEX(SPLIT(A1668, ""/""), 0, 2)"),"regex")</f>
        <v>regex</v>
      </c>
      <c r="J1668" s="2" t="b">
        <f t="shared" si="1"/>
        <v>0</v>
      </c>
    </row>
    <row r="1669">
      <c r="A1669" s="1" t="s">
        <v>1023</v>
      </c>
      <c r="B1669" s="3">
        <v>89.0</v>
      </c>
      <c r="C1669" s="3">
        <v>60.0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2" t="str">
        <f>IFERROR(__xludf.DUMMYFUNCTION("INDEX(SPLIT(A1669, ""/""), 0, 2)"),"regex")</f>
        <v>regex</v>
      </c>
      <c r="J1669" s="2" t="b">
        <f t="shared" si="1"/>
        <v>0</v>
      </c>
    </row>
    <row r="1670">
      <c r="A1670" s="1" t="s">
        <v>1024</v>
      </c>
      <c r="B1670" s="3">
        <v>56.0</v>
      </c>
      <c r="C1670" s="3">
        <v>60.0</v>
      </c>
      <c r="D1670" s="3">
        <v>0.0</v>
      </c>
      <c r="E1670" s="3">
        <v>0.0</v>
      </c>
      <c r="F1670" s="3">
        <v>0.0</v>
      </c>
      <c r="G1670" s="3">
        <v>0.0</v>
      </c>
      <c r="H1670" s="3">
        <v>0.0</v>
      </c>
      <c r="I1670" s="2" t="str">
        <f>IFERROR(__xludf.DUMMYFUNCTION("INDEX(SPLIT(A1670, ""/""), 0, 2)"),"regex")</f>
        <v>regex</v>
      </c>
      <c r="J1670" s="2" t="b">
        <f t="shared" si="1"/>
        <v>0</v>
      </c>
    </row>
    <row r="1671">
      <c r="A1671" s="1" t="s">
        <v>1025</v>
      </c>
      <c r="B1671" s="3">
        <v>85.0</v>
      </c>
      <c r="C1671" s="3">
        <v>60.0</v>
      </c>
      <c r="D1671" s="3">
        <v>0.0</v>
      </c>
      <c r="E1671" s="3">
        <v>0.0</v>
      </c>
      <c r="F1671" s="3">
        <v>0.0</v>
      </c>
      <c r="G1671" s="3">
        <v>0.0</v>
      </c>
      <c r="H1671" s="3">
        <v>0.0</v>
      </c>
      <c r="I1671" s="2" t="str">
        <f>IFERROR(__xludf.DUMMYFUNCTION("INDEX(SPLIT(A1671, ""/""), 0, 2)"),"regex")</f>
        <v>regex</v>
      </c>
      <c r="J1671" s="2" t="b">
        <f t="shared" si="1"/>
        <v>0</v>
      </c>
    </row>
    <row r="1672">
      <c r="A1672" s="1" t="s">
        <v>1026</v>
      </c>
      <c r="B1672" s="3">
        <v>155.0</v>
      </c>
      <c r="C1672" s="3">
        <v>60.0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2" t="str">
        <f>IFERROR(__xludf.DUMMYFUNCTION("INDEX(SPLIT(A1672, ""/""), 0, 2)"),"regex")</f>
        <v>regex</v>
      </c>
      <c r="J1672" s="2" t="b">
        <f t="shared" si="1"/>
        <v>0</v>
      </c>
    </row>
    <row r="1673">
      <c r="A1673" s="1" t="s">
        <v>1027</v>
      </c>
      <c r="B1673" s="3">
        <v>34.0</v>
      </c>
      <c r="C1673" s="3">
        <v>60.0</v>
      </c>
      <c r="D1673" s="3">
        <v>0.0</v>
      </c>
      <c r="E1673" s="3">
        <v>0.0</v>
      </c>
      <c r="F1673" s="3">
        <v>0.0</v>
      </c>
      <c r="G1673" s="3">
        <v>0.0</v>
      </c>
      <c r="H1673" s="3">
        <v>0.0</v>
      </c>
      <c r="I1673" s="2" t="str">
        <f>IFERROR(__xludf.DUMMYFUNCTION("INDEX(SPLIT(A1673, ""/""), 0, 2)"),"regex")</f>
        <v>regex</v>
      </c>
      <c r="J1673" s="2" t="b">
        <f t="shared" si="1"/>
        <v>0</v>
      </c>
    </row>
    <row r="1674">
      <c r="A1674" s="1" t="s">
        <v>1028</v>
      </c>
      <c r="B1674" s="3">
        <v>20.0</v>
      </c>
      <c r="C1674" s="3">
        <v>60.0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2" t="str">
        <f>IFERROR(__xludf.DUMMYFUNCTION("INDEX(SPLIT(A1674, ""/""), 0, 2)"),"regex")</f>
        <v>regex</v>
      </c>
      <c r="J1674" s="2" t="b">
        <f t="shared" si="1"/>
        <v>0</v>
      </c>
    </row>
    <row r="1675">
      <c r="A1675" s="1" t="s">
        <v>1029</v>
      </c>
      <c r="B1675" s="3">
        <v>4.0</v>
      </c>
      <c r="C1675" s="3">
        <v>60.0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2" t="str">
        <f>IFERROR(__xludf.DUMMYFUNCTION("INDEX(SPLIT(A1675, ""/""), 0, 2)"),"regex")</f>
        <v>regex</v>
      </c>
      <c r="J1675" s="2" t="b">
        <f t="shared" si="1"/>
        <v>0</v>
      </c>
    </row>
    <row r="1676">
      <c r="A1676" s="1" t="s">
        <v>1030</v>
      </c>
      <c r="B1676" s="3">
        <v>10.0</v>
      </c>
      <c r="C1676" s="3">
        <v>60.0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2" t="str">
        <f>IFERROR(__xludf.DUMMYFUNCTION("INDEX(SPLIT(A1676, ""/""), 0, 2)"),"regex")</f>
        <v>regex</v>
      </c>
      <c r="J1676" s="2" t="b">
        <f t="shared" si="1"/>
        <v>0</v>
      </c>
    </row>
    <row r="1677">
      <c r="A1677" s="1" t="s">
        <v>1031</v>
      </c>
      <c r="B1677" s="3">
        <v>187.0</v>
      </c>
      <c r="C1677" s="3">
        <v>60.0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2" t="str">
        <f>IFERROR(__xludf.DUMMYFUNCTION("INDEX(SPLIT(A1677, ""/""), 0, 2)"),"regex")</f>
        <v>regex</v>
      </c>
      <c r="J1677" s="2" t="b">
        <f t="shared" si="1"/>
        <v>0</v>
      </c>
    </row>
    <row r="1678">
      <c r="A1678" s="1" t="s">
        <v>1032</v>
      </c>
      <c r="B1678" s="3">
        <v>94.0</v>
      </c>
      <c r="C1678" s="3">
        <v>60.0</v>
      </c>
      <c r="D1678" s="3">
        <v>0.0</v>
      </c>
      <c r="E1678" s="3">
        <v>0.0</v>
      </c>
      <c r="F1678" s="3">
        <v>0.0</v>
      </c>
      <c r="G1678" s="3">
        <v>0.0</v>
      </c>
      <c r="H1678" s="3">
        <v>0.0</v>
      </c>
      <c r="I1678" s="2" t="str">
        <f>IFERROR(__xludf.DUMMYFUNCTION("INDEX(SPLIT(A1678, ""/""), 0, 2)"),"regex")</f>
        <v>regex</v>
      </c>
      <c r="J1678" s="2" t="b">
        <f t="shared" si="1"/>
        <v>0</v>
      </c>
    </row>
    <row r="1679">
      <c r="A1679" s="1" t="s">
        <v>1033</v>
      </c>
      <c r="B1679" s="3">
        <v>27.0</v>
      </c>
      <c r="C1679" s="3">
        <v>60.0</v>
      </c>
      <c r="D1679" s="3">
        <v>0.0</v>
      </c>
      <c r="E1679" s="3">
        <v>0.0</v>
      </c>
      <c r="F1679" s="3">
        <v>0.0</v>
      </c>
      <c r="G1679" s="3">
        <v>0.0</v>
      </c>
      <c r="H1679" s="3">
        <v>0.0</v>
      </c>
      <c r="I1679" s="2" t="str">
        <f>IFERROR(__xludf.DUMMYFUNCTION("INDEX(SPLIT(A1679, ""/""), 0, 2)"),"regex")</f>
        <v>regex</v>
      </c>
      <c r="J1679" s="2" t="b">
        <f t="shared" si="1"/>
        <v>0</v>
      </c>
    </row>
    <row r="1680">
      <c r="A1680" s="1" t="s">
        <v>1034</v>
      </c>
      <c r="B1680" s="3">
        <v>15.0</v>
      </c>
      <c r="C1680" s="3">
        <v>60.0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2" t="str">
        <f>IFERROR(__xludf.DUMMYFUNCTION("INDEX(SPLIT(A1680, ""/""), 0, 2)"),"regex")</f>
        <v>regex</v>
      </c>
      <c r="J1680" s="2" t="b">
        <f t="shared" si="1"/>
        <v>0</v>
      </c>
    </row>
    <row r="1681">
      <c r="A1681" s="1" t="s">
        <v>1035</v>
      </c>
      <c r="B1681" s="3">
        <v>10.0</v>
      </c>
      <c r="C1681" s="3">
        <v>60.0</v>
      </c>
      <c r="D1681" s="3">
        <v>0.0</v>
      </c>
      <c r="E1681" s="3">
        <v>0.0</v>
      </c>
      <c r="F1681" s="3">
        <v>0.0</v>
      </c>
      <c r="G1681" s="3">
        <v>0.0</v>
      </c>
      <c r="H1681" s="3">
        <v>0.0</v>
      </c>
      <c r="I1681" s="2" t="str">
        <f>IFERROR(__xludf.DUMMYFUNCTION("INDEX(SPLIT(A1681, ""/""), 0, 2)"),"regex")</f>
        <v>regex</v>
      </c>
      <c r="J1681" s="2" t="b">
        <f t="shared" si="1"/>
        <v>0</v>
      </c>
    </row>
    <row r="1682">
      <c r="A1682" s="1" t="s">
        <v>1036</v>
      </c>
      <c r="B1682" s="3">
        <v>23.0</v>
      </c>
      <c r="C1682" s="3">
        <v>60.0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2" t="str">
        <f>IFERROR(__xludf.DUMMYFUNCTION("INDEX(SPLIT(A1682, ""/""), 0, 2)"),"regex")</f>
        <v>regex</v>
      </c>
      <c r="J1682" s="2" t="b">
        <f t="shared" si="1"/>
        <v>0</v>
      </c>
    </row>
    <row r="1683">
      <c r="A1683" s="1" t="s">
        <v>1037</v>
      </c>
      <c r="B1683" s="3">
        <v>51.0</v>
      </c>
      <c r="C1683" s="3">
        <v>60.0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2" t="str">
        <f>IFERROR(__xludf.DUMMYFUNCTION("INDEX(SPLIT(A1683, ""/""), 0, 2)"),"regex")</f>
        <v>regex</v>
      </c>
      <c r="J1683" s="2" t="b">
        <f t="shared" si="1"/>
        <v>0</v>
      </c>
    </row>
    <row r="1684">
      <c r="A1684" s="1" t="s">
        <v>1038</v>
      </c>
      <c r="B1684" s="3">
        <v>11.0</v>
      </c>
      <c r="C1684" s="3">
        <v>60.0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2" t="str">
        <f>IFERROR(__xludf.DUMMYFUNCTION("INDEX(SPLIT(A1684, ""/""), 0, 2)"),"regex")</f>
        <v>regex</v>
      </c>
      <c r="J1684" s="2" t="b">
        <f t="shared" si="1"/>
        <v>0</v>
      </c>
    </row>
    <row r="1685">
      <c r="A1685" s="1" t="s">
        <v>1039</v>
      </c>
      <c r="B1685" s="3">
        <v>5.0</v>
      </c>
      <c r="C1685" s="3">
        <v>60.0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2" t="str">
        <f>IFERROR(__xludf.DUMMYFUNCTION("INDEX(SPLIT(A1685, ""/""), 0, 2)"),"regex")</f>
        <v>regex</v>
      </c>
      <c r="J1685" s="2" t="b">
        <f t="shared" si="1"/>
        <v>0</v>
      </c>
    </row>
    <row r="1686">
      <c r="A1686" s="1" t="s">
        <v>1040</v>
      </c>
      <c r="B1686" s="3">
        <v>61.0</v>
      </c>
      <c r="C1686" s="3">
        <v>60.0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2" t="str">
        <f>IFERROR(__xludf.DUMMYFUNCTION("INDEX(SPLIT(A1686, ""/""), 0, 2)"),"regex")</f>
        <v>regex</v>
      </c>
      <c r="J1686" s="2" t="b">
        <f t="shared" si="1"/>
        <v>0</v>
      </c>
    </row>
    <row r="1687">
      <c r="A1687" s="1" t="s">
        <v>1041</v>
      </c>
      <c r="B1687" s="3">
        <v>30.0</v>
      </c>
      <c r="C1687" s="3">
        <v>60.0</v>
      </c>
      <c r="D1687" s="3">
        <v>0.0</v>
      </c>
      <c r="E1687" s="3">
        <v>0.0</v>
      </c>
      <c r="F1687" s="3">
        <v>0.0</v>
      </c>
      <c r="G1687" s="3">
        <v>0.0</v>
      </c>
      <c r="H1687" s="3">
        <v>0.0</v>
      </c>
      <c r="I1687" s="2" t="str">
        <f>IFERROR(__xludf.DUMMYFUNCTION("INDEX(SPLIT(A1687, ""/""), 0, 2)"),"regex")</f>
        <v>regex</v>
      </c>
      <c r="J1687" s="2" t="b">
        <f t="shared" si="1"/>
        <v>0</v>
      </c>
    </row>
    <row r="1688">
      <c r="A1688" s="1" t="s">
        <v>1042</v>
      </c>
      <c r="B1688" s="3">
        <v>31.0</v>
      </c>
      <c r="C1688" s="3">
        <v>60.0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2" t="str">
        <f>IFERROR(__xludf.DUMMYFUNCTION("INDEX(SPLIT(A1688, ""/""), 0, 2)"),"regex")</f>
        <v>regex</v>
      </c>
      <c r="J1688" s="2" t="b">
        <f t="shared" si="1"/>
        <v>0</v>
      </c>
    </row>
    <row r="1689">
      <c r="A1689" s="1" t="s">
        <v>1043</v>
      </c>
      <c r="B1689" s="3">
        <v>25.0</v>
      </c>
      <c r="C1689" s="3">
        <v>60.0</v>
      </c>
      <c r="D1689" s="3">
        <v>0.0</v>
      </c>
      <c r="E1689" s="3">
        <v>0.0</v>
      </c>
      <c r="F1689" s="3">
        <v>0.0</v>
      </c>
      <c r="G1689" s="3">
        <v>0.0</v>
      </c>
      <c r="H1689" s="3">
        <v>0.0</v>
      </c>
      <c r="I1689" s="2" t="str">
        <f>IFERROR(__xludf.DUMMYFUNCTION("INDEX(SPLIT(A1689, ""/""), 0, 2)"),"regex")</f>
        <v>regex</v>
      </c>
      <c r="J1689" s="2" t="b">
        <f t="shared" si="1"/>
        <v>0</v>
      </c>
    </row>
    <row r="1690">
      <c r="A1690" s="1" t="s">
        <v>1044</v>
      </c>
      <c r="B1690" s="3">
        <v>11.0</v>
      </c>
      <c r="C1690" s="3">
        <v>60.0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2" t="str">
        <f>IFERROR(__xludf.DUMMYFUNCTION("INDEX(SPLIT(A1690, ""/""), 0, 2)"),"regex")</f>
        <v>regex</v>
      </c>
      <c r="J1690" s="2" t="b">
        <f t="shared" si="1"/>
        <v>0</v>
      </c>
    </row>
    <row r="1691">
      <c r="A1691" s="1" t="s">
        <v>1045</v>
      </c>
      <c r="B1691" s="3">
        <v>32.0</v>
      </c>
      <c r="C1691" s="3">
        <v>60.0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2" t="str">
        <f>IFERROR(__xludf.DUMMYFUNCTION("INDEX(SPLIT(A1691, ""/""), 0, 2)"),"regex")</f>
        <v>regex</v>
      </c>
      <c r="J1691" s="2" t="b">
        <f t="shared" si="1"/>
        <v>0</v>
      </c>
    </row>
    <row r="1692">
      <c r="A1692" s="1" t="s">
        <v>1046</v>
      </c>
      <c r="B1692" s="3">
        <v>10.0</v>
      </c>
      <c r="C1692" s="3">
        <v>60.0</v>
      </c>
      <c r="D1692" s="3">
        <v>0.0</v>
      </c>
      <c r="E1692" s="3">
        <v>0.0</v>
      </c>
      <c r="F1692" s="3">
        <v>0.0</v>
      </c>
      <c r="G1692" s="3">
        <v>0.0</v>
      </c>
      <c r="H1692" s="3">
        <v>0.0</v>
      </c>
      <c r="I1692" s="2" t="str">
        <f>IFERROR(__xludf.DUMMYFUNCTION("INDEX(SPLIT(A1692, ""/""), 0, 2)"),"regex")</f>
        <v>regex</v>
      </c>
      <c r="J1692" s="2" t="b">
        <f t="shared" si="1"/>
        <v>0</v>
      </c>
    </row>
    <row r="1693">
      <c r="A1693" s="1" t="s">
        <v>1047</v>
      </c>
      <c r="B1693" s="3">
        <v>26.0</v>
      </c>
      <c r="C1693" s="3">
        <v>60.0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2" t="str">
        <f>IFERROR(__xludf.DUMMYFUNCTION("INDEX(SPLIT(A1693, ""/""), 0, 2)"),"regex")</f>
        <v>regex</v>
      </c>
      <c r="J1693" s="2" t="b">
        <f t="shared" si="1"/>
        <v>0</v>
      </c>
    </row>
    <row r="1694">
      <c r="A1694" s="1" t="s">
        <v>1048</v>
      </c>
      <c r="B1694" s="3">
        <v>8.0</v>
      </c>
      <c r="C1694" s="3">
        <v>60.0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2" t="str">
        <f>IFERROR(__xludf.DUMMYFUNCTION("INDEX(SPLIT(A1694, ""/""), 0, 2)"),"regex")</f>
        <v>regex</v>
      </c>
      <c r="J1694" s="2" t="b">
        <f t="shared" si="1"/>
        <v>0</v>
      </c>
    </row>
    <row r="1695">
      <c r="A1695" s="1" t="s">
        <v>1049</v>
      </c>
      <c r="B1695" s="3">
        <v>81.0</v>
      </c>
      <c r="C1695" s="3">
        <v>60.0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2" t="str">
        <f>IFERROR(__xludf.DUMMYFUNCTION("INDEX(SPLIT(A1695, ""/""), 0, 2)"),"regex")</f>
        <v>regex</v>
      </c>
      <c r="J1695" s="2" t="b">
        <f t="shared" si="1"/>
        <v>0</v>
      </c>
    </row>
    <row r="1696">
      <c r="A1696" s="1" t="s">
        <v>1050</v>
      </c>
      <c r="B1696" s="3">
        <v>39.0</v>
      </c>
      <c r="C1696" s="3">
        <v>60.0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2" t="str">
        <f>IFERROR(__xludf.DUMMYFUNCTION("INDEX(SPLIT(A1696, ""/""), 0, 2)"),"regex")</f>
        <v>regex</v>
      </c>
      <c r="J1696" s="2" t="b">
        <f t="shared" si="1"/>
        <v>0</v>
      </c>
    </row>
    <row r="1697">
      <c r="A1697" s="1" t="s">
        <v>1051</v>
      </c>
      <c r="B1697" s="3">
        <v>28.0</v>
      </c>
      <c r="C1697" s="3">
        <v>60.0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2" t="str">
        <f>IFERROR(__xludf.DUMMYFUNCTION("INDEX(SPLIT(A1697, ""/""), 0, 2)"),"regex")</f>
        <v>regex</v>
      </c>
      <c r="J1697" s="2" t="b">
        <f t="shared" si="1"/>
        <v>0</v>
      </c>
    </row>
    <row r="1698">
      <c r="A1698" s="1" t="s">
        <v>1052</v>
      </c>
      <c r="B1698" s="3">
        <v>38.0</v>
      </c>
      <c r="C1698" s="3">
        <v>60.0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2" t="str">
        <f>IFERROR(__xludf.DUMMYFUNCTION("INDEX(SPLIT(A1698, ""/""), 0, 2)"),"regex")</f>
        <v>regex</v>
      </c>
      <c r="J1698" s="2" t="b">
        <f t="shared" si="1"/>
        <v>0</v>
      </c>
    </row>
    <row r="1699">
      <c r="A1699" s="1" t="s">
        <v>1053</v>
      </c>
      <c r="B1699" s="3">
        <v>88.0</v>
      </c>
      <c r="C1699" s="3">
        <v>60.0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2" t="str">
        <f>IFERROR(__xludf.DUMMYFUNCTION("INDEX(SPLIT(A1699, ""/""), 0, 2)"),"regex")</f>
        <v>regex</v>
      </c>
      <c r="J1699" s="2" t="b">
        <f t="shared" si="1"/>
        <v>0</v>
      </c>
    </row>
    <row r="1700">
      <c r="A1700" s="1" t="s">
        <v>1054</v>
      </c>
      <c r="B1700" s="3">
        <v>295.0</v>
      </c>
      <c r="C1700" s="3">
        <v>60.0</v>
      </c>
      <c r="D1700" s="3">
        <v>2.0</v>
      </c>
      <c r="E1700" s="3">
        <v>0.0</v>
      </c>
      <c r="F1700" s="3">
        <v>0.0</v>
      </c>
      <c r="G1700" s="3">
        <v>0.0</v>
      </c>
      <c r="H1700" s="3">
        <v>0.0</v>
      </c>
      <c r="I1700" s="2" t="str">
        <f>IFERROR(__xludf.DUMMYFUNCTION("INDEX(SPLIT(A1700, ""/""), 0, 2)"),"regex")</f>
        <v>regex</v>
      </c>
      <c r="J1700" s="2" t="b">
        <f t="shared" si="1"/>
        <v>0</v>
      </c>
    </row>
    <row r="1701">
      <c r="A1701" s="1" t="s">
        <v>1055</v>
      </c>
      <c r="B1701" s="3">
        <v>7.0</v>
      </c>
      <c r="C1701" s="3">
        <v>60.0</v>
      </c>
      <c r="D1701" s="3">
        <v>0.0</v>
      </c>
      <c r="E1701" s="3">
        <v>0.0</v>
      </c>
      <c r="F1701" s="3">
        <v>0.0</v>
      </c>
      <c r="G1701" s="3">
        <v>0.0</v>
      </c>
      <c r="H1701" s="3">
        <v>0.0</v>
      </c>
      <c r="I1701" s="2" t="str">
        <f>IFERROR(__xludf.DUMMYFUNCTION("INDEX(SPLIT(A1701, ""/""), 0, 2)"),"regex")</f>
        <v>regex</v>
      </c>
      <c r="J1701" s="2" t="b">
        <f t="shared" si="1"/>
        <v>0</v>
      </c>
    </row>
    <row r="1702">
      <c r="A1702" s="1" t="s">
        <v>1056</v>
      </c>
      <c r="B1702" s="3">
        <v>21.0</v>
      </c>
      <c r="C1702" s="3">
        <v>60.0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2" t="str">
        <f>IFERROR(__xludf.DUMMYFUNCTION("INDEX(SPLIT(A1702, ""/""), 0, 2)"),"regex")</f>
        <v>regex</v>
      </c>
      <c r="J1702" s="2" t="b">
        <f t="shared" si="1"/>
        <v>0</v>
      </c>
    </row>
    <row r="1703">
      <c r="A1703" s="1" t="s">
        <v>1057</v>
      </c>
      <c r="B1703" s="3">
        <v>24.0</v>
      </c>
      <c r="C1703" s="3">
        <v>60.0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2" t="str">
        <f>IFERROR(__xludf.DUMMYFUNCTION("INDEX(SPLIT(A1703, ""/""), 0, 2)"),"regex")</f>
        <v>regex</v>
      </c>
      <c r="J1703" s="2" t="b">
        <f t="shared" si="1"/>
        <v>0</v>
      </c>
    </row>
    <row r="1704">
      <c r="A1704" s="1" t="s">
        <v>1058</v>
      </c>
      <c r="B1704" s="3">
        <v>34.0</v>
      </c>
      <c r="C1704" s="3">
        <v>60.0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2" t="str">
        <f>IFERROR(__xludf.DUMMYFUNCTION("INDEX(SPLIT(A1704, ""/""), 0, 2)"),"regex")</f>
        <v>regex</v>
      </c>
      <c r="J1704" s="2" t="b">
        <f t="shared" si="1"/>
        <v>0</v>
      </c>
    </row>
    <row r="1705">
      <c r="A1705" s="1" t="s">
        <v>1059</v>
      </c>
      <c r="B1705" s="3">
        <v>165.0</v>
      </c>
      <c r="C1705" s="3">
        <v>60.0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2" t="str">
        <f>IFERROR(__xludf.DUMMYFUNCTION("INDEX(SPLIT(A1705, ""/""), 0, 2)"),"regex")</f>
        <v>regex</v>
      </c>
      <c r="J1705" s="2" t="b">
        <f t="shared" si="1"/>
        <v>0</v>
      </c>
    </row>
    <row r="1706">
      <c r="A1706" s="1" t="s">
        <v>1060</v>
      </c>
      <c r="B1706" s="3">
        <v>94.0</v>
      </c>
      <c r="C1706" s="3">
        <v>60.0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2" t="str">
        <f>IFERROR(__xludf.DUMMYFUNCTION("INDEX(SPLIT(A1706, ""/""), 0, 2)"),"regex")</f>
        <v>regex</v>
      </c>
      <c r="J1706" s="2" t="b">
        <f t="shared" si="1"/>
        <v>0</v>
      </c>
    </row>
    <row r="1707">
      <c r="A1707" s="1" t="s">
        <v>1061</v>
      </c>
      <c r="B1707" s="3">
        <v>53.0</v>
      </c>
      <c r="C1707" s="3">
        <v>60.0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2" t="str">
        <f>IFERROR(__xludf.DUMMYFUNCTION("INDEX(SPLIT(A1707, ""/""), 0, 2)"),"regex")</f>
        <v>regex</v>
      </c>
      <c r="J1707" s="2" t="b">
        <f t="shared" si="1"/>
        <v>0</v>
      </c>
    </row>
    <row r="1708">
      <c r="A1708" s="1" t="s">
        <v>1062</v>
      </c>
      <c r="B1708" s="3">
        <v>83.0</v>
      </c>
      <c r="C1708" s="3">
        <v>60.0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2" t="str">
        <f>IFERROR(__xludf.DUMMYFUNCTION("INDEX(SPLIT(A1708, ""/""), 0, 2)"),"regex")</f>
        <v>regex</v>
      </c>
      <c r="J1708" s="2" t="b">
        <f t="shared" si="1"/>
        <v>0</v>
      </c>
    </row>
    <row r="1709">
      <c r="A1709" s="1" t="s">
        <v>1063</v>
      </c>
      <c r="B1709" s="3">
        <v>23.0</v>
      </c>
      <c r="C1709" s="3">
        <v>60.0</v>
      </c>
      <c r="D1709" s="3">
        <v>0.0</v>
      </c>
      <c r="E1709" s="3">
        <v>0.0</v>
      </c>
      <c r="F1709" s="3">
        <v>0.0</v>
      </c>
      <c r="G1709" s="3">
        <v>0.0</v>
      </c>
      <c r="H1709" s="3">
        <v>0.0</v>
      </c>
      <c r="I1709" s="2" t="str">
        <f>IFERROR(__xludf.DUMMYFUNCTION("INDEX(SPLIT(A1709, ""/""), 0, 2)"),"regex")</f>
        <v>regex</v>
      </c>
      <c r="J1709" s="2" t="b">
        <f t="shared" si="1"/>
        <v>0</v>
      </c>
    </row>
    <row r="1710">
      <c r="A1710" s="1" t="s">
        <v>1064</v>
      </c>
      <c r="B1710" s="3">
        <v>72.0</v>
      </c>
      <c r="C1710" s="3">
        <v>60.0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2" t="str">
        <f>IFERROR(__xludf.DUMMYFUNCTION("INDEX(SPLIT(A1710, ""/""), 0, 2)"),"regex")</f>
        <v>regex</v>
      </c>
      <c r="J1710" s="2" t="b">
        <f t="shared" si="1"/>
        <v>0</v>
      </c>
    </row>
    <row r="1711">
      <c r="A1711" s="1" t="s">
        <v>1065</v>
      </c>
      <c r="B1711" s="3">
        <v>26.0</v>
      </c>
      <c r="C1711" s="3">
        <v>60.0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2" t="str">
        <f>IFERROR(__xludf.DUMMYFUNCTION("INDEX(SPLIT(A1711, ""/""), 0, 2)"),"regex")</f>
        <v>regex</v>
      </c>
      <c r="J1711" s="2" t="b">
        <f t="shared" si="1"/>
        <v>0</v>
      </c>
    </row>
    <row r="1712">
      <c r="A1712" s="1" t="s">
        <v>1066</v>
      </c>
      <c r="B1712" s="3">
        <v>4.0</v>
      </c>
      <c r="C1712" s="3">
        <v>60.0</v>
      </c>
      <c r="D1712" s="3">
        <v>0.0</v>
      </c>
      <c r="E1712" s="3">
        <v>0.0</v>
      </c>
      <c r="F1712" s="3">
        <v>0.0</v>
      </c>
      <c r="G1712" s="3">
        <v>0.0</v>
      </c>
      <c r="H1712" s="3">
        <v>0.0</v>
      </c>
      <c r="I1712" s="2" t="str">
        <f>IFERROR(__xludf.DUMMYFUNCTION("INDEX(SPLIT(A1712, ""/""), 0, 2)"),"regex")</f>
        <v>regex</v>
      </c>
      <c r="J1712" s="2" t="b">
        <f t="shared" si="1"/>
        <v>0</v>
      </c>
    </row>
    <row r="1713">
      <c r="A1713" s="1" t="s">
        <v>1067</v>
      </c>
      <c r="B1713" s="3">
        <v>10.0</v>
      </c>
      <c r="C1713" s="3">
        <v>60.0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2" t="str">
        <f>IFERROR(__xludf.DUMMYFUNCTION("INDEX(SPLIT(A1713, ""/""), 0, 2)"),"regex")</f>
        <v>regex</v>
      </c>
      <c r="J1713" s="2" t="b">
        <f t="shared" si="1"/>
        <v>0</v>
      </c>
    </row>
    <row r="1714">
      <c r="A1714" s="1" t="s">
        <v>1068</v>
      </c>
      <c r="B1714" s="3">
        <v>48.0</v>
      </c>
      <c r="C1714" s="3">
        <v>60.0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2" t="str">
        <f>IFERROR(__xludf.DUMMYFUNCTION("INDEX(SPLIT(A1714, ""/""), 0, 2)"),"regex")</f>
        <v>regex</v>
      </c>
      <c r="J1714" s="2" t="b">
        <f t="shared" si="1"/>
        <v>0</v>
      </c>
    </row>
    <row r="1715">
      <c r="A1715" s="1" t="s">
        <v>1069</v>
      </c>
      <c r="B1715" s="3">
        <v>39.0</v>
      </c>
      <c r="C1715" s="3">
        <v>60.0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2" t="str">
        <f>IFERROR(__xludf.DUMMYFUNCTION("INDEX(SPLIT(A1715, ""/""), 0, 2)"),"regex")</f>
        <v>regex</v>
      </c>
      <c r="J1715" s="2" t="b">
        <f t="shared" si="1"/>
        <v>0</v>
      </c>
    </row>
    <row r="1716">
      <c r="A1716" s="1" t="s">
        <v>1070</v>
      </c>
      <c r="B1716" s="3">
        <v>8002.0</v>
      </c>
      <c r="C1716" s="3">
        <v>60.0</v>
      </c>
      <c r="D1716" s="3">
        <v>2185.0</v>
      </c>
      <c r="E1716" s="3">
        <v>5.0</v>
      </c>
      <c r="F1716" s="3">
        <v>26.0</v>
      </c>
      <c r="G1716" s="3">
        <v>104.0</v>
      </c>
      <c r="H1716" s="3">
        <v>4.0</v>
      </c>
      <c r="I1716" s="2" t="str">
        <f>IFERROR(__xludf.DUMMYFUNCTION("INDEX(SPLIT(A1716, ""/""), 0, 2)"),"regex")</f>
        <v>regex</v>
      </c>
      <c r="J1716" s="2" t="b">
        <f t="shared" si="1"/>
        <v>1</v>
      </c>
    </row>
    <row r="1717">
      <c r="A1717" s="1" t="s">
        <v>1071</v>
      </c>
      <c r="B1717" s="3">
        <v>27.0</v>
      </c>
      <c r="C1717" s="3">
        <v>60.0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2" t="str">
        <f>IFERROR(__xludf.DUMMYFUNCTION("INDEX(SPLIT(A1717, ""/""), 0, 2)"),"regex")</f>
        <v>regex</v>
      </c>
      <c r="J1717" s="2" t="b">
        <f t="shared" si="1"/>
        <v>0</v>
      </c>
    </row>
    <row r="1718">
      <c r="A1718" s="1" t="s">
        <v>1072</v>
      </c>
      <c r="B1718" s="3">
        <v>18.0</v>
      </c>
      <c r="C1718" s="3">
        <v>60.0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2" t="str">
        <f>IFERROR(__xludf.DUMMYFUNCTION("INDEX(SPLIT(A1718, ""/""), 0, 2)"),"regex")</f>
        <v>regex</v>
      </c>
      <c r="J1718" s="2" t="b">
        <f t="shared" si="1"/>
        <v>0</v>
      </c>
    </row>
    <row r="1719">
      <c r="A1719" s="1" t="s">
        <v>1073</v>
      </c>
      <c r="B1719" s="3">
        <v>33.0</v>
      </c>
      <c r="C1719" s="3">
        <v>60.0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2" t="str">
        <f>IFERROR(__xludf.DUMMYFUNCTION("INDEX(SPLIT(A1719, ""/""), 0, 2)"),"regex")</f>
        <v>regex</v>
      </c>
      <c r="J1719" s="2" t="b">
        <f t="shared" si="1"/>
        <v>0</v>
      </c>
    </row>
    <row r="1720">
      <c r="A1720" s="1" t="s">
        <v>1074</v>
      </c>
      <c r="B1720" s="3">
        <v>111.0</v>
      </c>
      <c r="C1720" s="3">
        <v>60.0</v>
      </c>
      <c r="D1720" s="3">
        <v>0.0</v>
      </c>
      <c r="E1720" s="3">
        <v>0.0</v>
      </c>
      <c r="F1720" s="3">
        <v>0.0</v>
      </c>
      <c r="G1720" s="3">
        <v>0.0</v>
      </c>
      <c r="H1720" s="3">
        <v>0.0</v>
      </c>
      <c r="I1720" s="2" t="str">
        <f>IFERROR(__xludf.DUMMYFUNCTION("INDEX(SPLIT(A1720, ""/""), 0, 2)"),"regex")</f>
        <v>regex</v>
      </c>
      <c r="J1720" s="2" t="b">
        <f t="shared" si="1"/>
        <v>0</v>
      </c>
    </row>
    <row r="1721">
      <c r="A1721" s="1" t="s">
        <v>1075</v>
      </c>
      <c r="B1721" s="3">
        <v>78.0</v>
      </c>
      <c r="C1721" s="3">
        <v>60.0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2" t="str">
        <f>IFERROR(__xludf.DUMMYFUNCTION("INDEX(SPLIT(A1721, ""/""), 0, 2)"),"regex")</f>
        <v>regex</v>
      </c>
      <c r="J1721" s="2" t="b">
        <f t="shared" si="1"/>
        <v>0</v>
      </c>
    </row>
    <row r="1722">
      <c r="A1722" s="1" t="s">
        <v>1076</v>
      </c>
      <c r="B1722" s="3">
        <v>8.0</v>
      </c>
      <c r="C1722" s="3">
        <v>60.0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2" t="str">
        <f>IFERROR(__xludf.DUMMYFUNCTION("INDEX(SPLIT(A1722, ""/""), 0, 2)"),"regex")</f>
        <v>regex</v>
      </c>
      <c r="J1722" s="2" t="b">
        <f t="shared" si="1"/>
        <v>0</v>
      </c>
    </row>
    <row r="1723">
      <c r="A1723" s="1" t="s">
        <v>1077</v>
      </c>
      <c r="B1723" s="3">
        <v>83.0</v>
      </c>
      <c r="C1723" s="3">
        <v>60.0</v>
      </c>
      <c r="D1723" s="3">
        <v>0.0</v>
      </c>
      <c r="E1723" s="3">
        <v>0.0</v>
      </c>
      <c r="F1723" s="3">
        <v>0.0</v>
      </c>
      <c r="G1723" s="3">
        <v>0.0</v>
      </c>
      <c r="H1723" s="3">
        <v>0.0</v>
      </c>
      <c r="I1723" s="2" t="str">
        <f>IFERROR(__xludf.DUMMYFUNCTION("INDEX(SPLIT(A1723, ""/""), 0, 2)"),"regex")</f>
        <v>regex</v>
      </c>
      <c r="J1723" s="2" t="b">
        <f t="shared" si="1"/>
        <v>0</v>
      </c>
    </row>
    <row r="1724">
      <c r="A1724" s="1" t="s">
        <v>1078</v>
      </c>
      <c r="B1724" s="3">
        <v>196.0</v>
      </c>
      <c r="C1724" s="3">
        <v>60.0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2" t="str">
        <f>IFERROR(__xludf.DUMMYFUNCTION("INDEX(SPLIT(A1724, ""/""), 0, 2)"),"regex")</f>
        <v>regex</v>
      </c>
      <c r="J1724" s="2" t="b">
        <f t="shared" si="1"/>
        <v>0</v>
      </c>
    </row>
    <row r="1725">
      <c r="A1725" s="1" t="s">
        <v>1079</v>
      </c>
      <c r="B1725" s="3">
        <v>141.0</v>
      </c>
      <c r="C1725" s="3">
        <v>60.0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2" t="str">
        <f>IFERROR(__xludf.DUMMYFUNCTION("INDEX(SPLIT(A1725, ""/""), 0, 2)"),"regex")</f>
        <v>regex</v>
      </c>
      <c r="J1725" s="2" t="b">
        <f t="shared" si="1"/>
        <v>0</v>
      </c>
    </row>
    <row r="1726">
      <c r="A1726" s="1" t="s">
        <v>1080</v>
      </c>
      <c r="B1726" s="3">
        <v>11.0</v>
      </c>
      <c r="C1726" s="3">
        <v>60.0</v>
      </c>
      <c r="D1726" s="3">
        <v>0.0</v>
      </c>
      <c r="E1726" s="3">
        <v>0.0</v>
      </c>
      <c r="F1726" s="3">
        <v>0.0</v>
      </c>
      <c r="G1726" s="3">
        <v>0.0</v>
      </c>
      <c r="H1726" s="3">
        <v>0.0</v>
      </c>
      <c r="I1726" s="2" t="str">
        <f>IFERROR(__xludf.DUMMYFUNCTION("INDEX(SPLIT(A1726, ""/""), 0, 2)"),"regex")</f>
        <v>regex</v>
      </c>
      <c r="J1726" s="2" t="b">
        <f t="shared" si="1"/>
        <v>0</v>
      </c>
    </row>
    <row r="1727">
      <c r="A1727" s="1" t="s">
        <v>1081</v>
      </c>
      <c r="B1727" s="3">
        <v>22.0</v>
      </c>
      <c r="C1727" s="3">
        <v>60.0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2" t="str">
        <f>IFERROR(__xludf.DUMMYFUNCTION("INDEX(SPLIT(A1727, ""/""), 0, 2)"),"regex")</f>
        <v>regex</v>
      </c>
      <c r="J1727" s="2" t="b">
        <f t="shared" si="1"/>
        <v>0</v>
      </c>
    </row>
    <row r="1728">
      <c r="A1728" s="1" t="s">
        <v>1082</v>
      </c>
      <c r="B1728" s="3">
        <v>35.0</v>
      </c>
      <c r="C1728" s="3">
        <v>60.0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2" t="str">
        <f>IFERROR(__xludf.DUMMYFUNCTION("INDEX(SPLIT(A1728, ""/""), 0, 2)"),"regex")</f>
        <v>regex</v>
      </c>
      <c r="J1728" s="2" t="b">
        <f t="shared" si="1"/>
        <v>0</v>
      </c>
    </row>
    <row r="1729">
      <c r="A1729" s="1" t="s">
        <v>1083</v>
      </c>
      <c r="B1729" s="3">
        <v>135.0</v>
      </c>
      <c r="C1729" s="3">
        <v>60.0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2" t="str">
        <f>IFERROR(__xludf.DUMMYFUNCTION("INDEX(SPLIT(A1729, ""/""), 0, 2)"),"regex")</f>
        <v>regex</v>
      </c>
      <c r="J1729" s="2" t="b">
        <f t="shared" si="1"/>
        <v>0</v>
      </c>
    </row>
    <row r="1730">
      <c r="A1730" s="1" t="s">
        <v>1084</v>
      </c>
      <c r="B1730" s="3">
        <v>26.0</v>
      </c>
      <c r="C1730" s="3">
        <v>60.0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2" t="str">
        <f>IFERROR(__xludf.DUMMYFUNCTION("INDEX(SPLIT(A1730, ""/""), 0, 2)"),"regex")</f>
        <v>regex</v>
      </c>
      <c r="J1730" s="2" t="b">
        <f t="shared" si="1"/>
        <v>0</v>
      </c>
    </row>
    <row r="1731">
      <c r="A1731" s="1" t="s">
        <v>1085</v>
      </c>
      <c r="B1731" s="3">
        <v>244.0</v>
      </c>
      <c r="C1731" s="3">
        <v>60.0</v>
      </c>
      <c r="D1731" s="3">
        <v>1.0</v>
      </c>
      <c r="E1731" s="3">
        <v>0.0</v>
      </c>
      <c r="F1731" s="3">
        <v>0.0</v>
      </c>
      <c r="G1731" s="3">
        <v>0.0</v>
      </c>
      <c r="H1731" s="3">
        <v>0.0</v>
      </c>
      <c r="I1731" s="2" t="str">
        <f>IFERROR(__xludf.DUMMYFUNCTION("INDEX(SPLIT(A1731, ""/""), 0, 2)"),"regex")</f>
        <v>regex</v>
      </c>
      <c r="J1731" s="2" t="b">
        <f t="shared" si="1"/>
        <v>0</v>
      </c>
    </row>
    <row r="1732">
      <c r="A1732" s="1" t="s">
        <v>1086</v>
      </c>
      <c r="B1732" s="3">
        <v>35.0</v>
      </c>
      <c r="C1732" s="3">
        <v>60.0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2" t="str">
        <f>IFERROR(__xludf.DUMMYFUNCTION("INDEX(SPLIT(A1732, ""/""), 0, 2)"),"regex")</f>
        <v>regex</v>
      </c>
      <c r="J1732" s="2" t="b">
        <f t="shared" si="1"/>
        <v>0</v>
      </c>
    </row>
    <row r="1733">
      <c r="A1733" s="1" t="s">
        <v>1087</v>
      </c>
      <c r="B1733" s="3">
        <v>38.0</v>
      </c>
      <c r="C1733" s="3">
        <v>60.0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2" t="str">
        <f>IFERROR(__xludf.DUMMYFUNCTION("INDEX(SPLIT(A1733, ""/""), 0, 2)"),"regex")</f>
        <v>regex</v>
      </c>
      <c r="J1733" s="2" t="b">
        <f t="shared" si="1"/>
        <v>0</v>
      </c>
    </row>
    <row r="1734">
      <c r="A1734" s="1" t="s">
        <v>1088</v>
      </c>
      <c r="B1734" s="3">
        <v>40.0</v>
      </c>
      <c r="C1734" s="3">
        <v>60.0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2" t="str">
        <f>IFERROR(__xludf.DUMMYFUNCTION("INDEX(SPLIT(A1734, ""/""), 0, 2)"),"regex")</f>
        <v>regex</v>
      </c>
      <c r="J1734" s="2" t="b">
        <f t="shared" si="1"/>
        <v>0</v>
      </c>
    </row>
    <row r="1735">
      <c r="A1735" s="1" t="s">
        <v>1089</v>
      </c>
      <c r="B1735" s="3">
        <v>99.0</v>
      </c>
      <c r="C1735" s="3">
        <v>60.0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2" t="str">
        <f>IFERROR(__xludf.DUMMYFUNCTION("INDEX(SPLIT(A1735, ""/""), 0, 2)"),"regex")</f>
        <v>regex</v>
      </c>
      <c r="J1735" s="2" t="b">
        <f t="shared" si="1"/>
        <v>0</v>
      </c>
    </row>
    <row r="1736">
      <c r="A1736" s="1" t="s">
        <v>1090</v>
      </c>
      <c r="B1736" s="3">
        <v>8.0</v>
      </c>
      <c r="C1736" s="3">
        <v>60.0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2" t="str">
        <f>IFERROR(__xludf.DUMMYFUNCTION("INDEX(SPLIT(A1736, ""/""), 0, 2)"),"regex")</f>
        <v>regex</v>
      </c>
      <c r="J1736" s="2" t="b">
        <f t="shared" si="1"/>
        <v>0</v>
      </c>
    </row>
    <row r="1737">
      <c r="A1737" s="1" t="s">
        <v>1091</v>
      </c>
      <c r="B1737" s="3">
        <v>35.0</v>
      </c>
      <c r="C1737" s="3">
        <v>60.0</v>
      </c>
      <c r="D1737" s="3">
        <v>0.0</v>
      </c>
      <c r="E1737" s="3">
        <v>0.0</v>
      </c>
      <c r="F1737" s="3">
        <v>0.0</v>
      </c>
      <c r="G1737" s="3">
        <v>0.0</v>
      </c>
      <c r="H1737" s="3">
        <v>0.0</v>
      </c>
      <c r="I1737" s="2" t="str">
        <f>IFERROR(__xludf.DUMMYFUNCTION("INDEX(SPLIT(A1737, ""/""), 0, 2)"),"regex")</f>
        <v>regex</v>
      </c>
      <c r="J1737" s="2" t="b">
        <f t="shared" si="1"/>
        <v>0</v>
      </c>
    </row>
    <row r="1738">
      <c r="A1738" s="1" t="s">
        <v>1092</v>
      </c>
      <c r="B1738" s="3">
        <v>29.0</v>
      </c>
      <c r="C1738" s="3">
        <v>60.0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2" t="str">
        <f>IFERROR(__xludf.DUMMYFUNCTION("INDEX(SPLIT(A1738, ""/""), 0, 2)"),"regex")</f>
        <v>regex</v>
      </c>
      <c r="J1738" s="2" t="b">
        <f t="shared" si="1"/>
        <v>0</v>
      </c>
    </row>
    <row r="1739">
      <c r="A1739" s="1" t="s">
        <v>1093</v>
      </c>
      <c r="B1739" s="3">
        <v>177.0</v>
      </c>
      <c r="C1739" s="3">
        <v>60.0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2" t="str">
        <f>IFERROR(__xludf.DUMMYFUNCTION("INDEX(SPLIT(A1739, ""/""), 0, 2)"),"regex")</f>
        <v>regex</v>
      </c>
      <c r="J1739" s="2" t="b">
        <f t="shared" si="1"/>
        <v>0</v>
      </c>
    </row>
    <row r="1740">
      <c r="A1740" s="1" t="s">
        <v>1094</v>
      </c>
      <c r="B1740" s="3">
        <v>31.0</v>
      </c>
      <c r="C1740" s="3">
        <v>60.0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2" t="str">
        <f>IFERROR(__xludf.DUMMYFUNCTION("INDEX(SPLIT(A1740, ""/""), 0, 2)"),"regex")</f>
        <v>regex</v>
      </c>
      <c r="J1740" s="2" t="b">
        <f t="shared" si="1"/>
        <v>0</v>
      </c>
    </row>
    <row r="1741">
      <c r="A1741" s="1" t="s">
        <v>1095</v>
      </c>
      <c r="B1741" s="3">
        <v>59.0</v>
      </c>
      <c r="C1741" s="3">
        <v>60.0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2" t="str">
        <f>IFERROR(__xludf.DUMMYFUNCTION("INDEX(SPLIT(A1741, ""/""), 0, 2)"),"regex")</f>
        <v>regex</v>
      </c>
      <c r="J1741" s="2" t="b">
        <f t="shared" si="1"/>
        <v>0</v>
      </c>
    </row>
    <row r="1742">
      <c r="A1742" s="1" t="s">
        <v>1096</v>
      </c>
      <c r="B1742" s="3">
        <v>16.0</v>
      </c>
      <c r="C1742" s="3">
        <v>60.0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2" t="str">
        <f>IFERROR(__xludf.DUMMYFUNCTION("INDEX(SPLIT(A1742, ""/""), 0, 2)"),"regex")</f>
        <v>regex</v>
      </c>
      <c r="J1742" s="2" t="b">
        <f t="shared" si="1"/>
        <v>0</v>
      </c>
    </row>
    <row r="1743">
      <c r="A1743" s="1" t="s">
        <v>1097</v>
      </c>
      <c r="B1743" s="3">
        <v>16.0</v>
      </c>
      <c r="C1743" s="3">
        <v>60.0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2" t="str">
        <f>IFERROR(__xludf.DUMMYFUNCTION("INDEX(SPLIT(A1743, ""/""), 0, 2)"),"regex")</f>
        <v>regex</v>
      </c>
      <c r="J1743" s="2" t="b">
        <f t="shared" si="1"/>
        <v>0</v>
      </c>
    </row>
    <row r="1744">
      <c r="A1744" s="1" t="s">
        <v>1098</v>
      </c>
      <c r="B1744" s="3">
        <v>14.0</v>
      </c>
      <c r="C1744" s="3">
        <v>60.0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2" t="str">
        <f>IFERROR(__xludf.DUMMYFUNCTION("INDEX(SPLIT(A1744, ""/""), 0, 2)"),"regex")</f>
        <v>regex</v>
      </c>
      <c r="J1744" s="2" t="b">
        <f t="shared" si="1"/>
        <v>0</v>
      </c>
    </row>
    <row r="1745">
      <c r="A1745" s="1" t="s">
        <v>1099</v>
      </c>
      <c r="B1745" s="3">
        <v>6.0</v>
      </c>
      <c r="C1745" s="3">
        <v>60.0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2" t="str">
        <f>IFERROR(__xludf.DUMMYFUNCTION("INDEX(SPLIT(A1745, ""/""), 0, 2)"),"regex")</f>
        <v>regex</v>
      </c>
      <c r="J1745" s="2" t="b">
        <f t="shared" si="1"/>
        <v>0</v>
      </c>
    </row>
    <row r="1746">
      <c r="A1746" s="1" t="s">
        <v>1100</v>
      </c>
      <c r="B1746" s="3">
        <v>93.0</v>
      </c>
      <c r="C1746" s="3">
        <v>60.0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2" t="str">
        <f>IFERROR(__xludf.DUMMYFUNCTION("INDEX(SPLIT(A1746, ""/""), 0, 2)"),"regex")</f>
        <v>regex</v>
      </c>
      <c r="J1746" s="2" t="b">
        <f t="shared" si="1"/>
        <v>0</v>
      </c>
    </row>
    <row r="1747">
      <c r="A1747" s="1" t="s">
        <v>1101</v>
      </c>
      <c r="B1747" s="3">
        <v>73.0</v>
      </c>
      <c r="C1747" s="3">
        <v>60.0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2" t="str">
        <f>IFERROR(__xludf.DUMMYFUNCTION("INDEX(SPLIT(A1747, ""/""), 0, 2)"),"regex")</f>
        <v>regex</v>
      </c>
      <c r="J1747" s="2" t="b">
        <f t="shared" si="1"/>
        <v>0</v>
      </c>
    </row>
    <row r="1748">
      <c r="A1748" s="1" t="s">
        <v>1102</v>
      </c>
      <c r="B1748" s="3">
        <v>29.0</v>
      </c>
      <c r="C1748" s="3">
        <v>60.0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2" t="str">
        <f>IFERROR(__xludf.DUMMYFUNCTION("INDEX(SPLIT(A1748, ""/""), 0, 2)"),"regex")</f>
        <v>regex</v>
      </c>
      <c r="J1748" s="2" t="b">
        <f t="shared" si="1"/>
        <v>0</v>
      </c>
    </row>
    <row r="1749">
      <c r="A1749" s="1" t="s">
        <v>1103</v>
      </c>
      <c r="B1749" s="3">
        <v>21.0</v>
      </c>
      <c r="C1749" s="3">
        <v>60.0</v>
      </c>
      <c r="D1749" s="3">
        <v>0.0</v>
      </c>
      <c r="E1749" s="3">
        <v>0.0</v>
      </c>
      <c r="F1749" s="3">
        <v>0.0</v>
      </c>
      <c r="G1749" s="3">
        <v>0.0</v>
      </c>
      <c r="H1749" s="3">
        <v>0.0</v>
      </c>
      <c r="I1749" s="2" t="str">
        <f>IFERROR(__xludf.DUMMYFUNCTION("INDEX(SPLIT(A1749, ""/""), 0, 2)"),"regex")</f>
        <v>regex</v>
      </c>
      <c r="J1749" s="2" t="b">
        <f t="shared" si="1"/>
        <v>0</v>
      </c>
    </row>
    <row r="1750">
      <c r="A1750" s="1" t="s">
        <v>1104</v>
      </c>
      <c r="B1750" s="3">
        <v>22.0</v>
      </c>
      <c r="C1750" s="3">
        <v>60.0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2" t="str">
        <f>IFERROR(__xludf.DUMMYFUNCTION("INDEX(SPLIT(A1750, ""/""), 0, 2)"),"regex")</f>
        <v>regex</v>
      </c>
      <c r="J1750" s="2" t="b">
        <f t="shared" si="1"/>
        <v>0</v>
      </c>
    </row>
    <row r="1751">
      <c r="A1751" s="1" t="s">
        <v>1105</v>
      </c>
      <c r="B1751" s="3">
        <v>35.0</v>
      </c>
      <c r="C1751" s="3">
        <v>60.0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2" t="str">
        <f>IFERROR(__xludf.DUMMYFUNCTION("INDEX(SPLIT(A1751, ""/""), 0, 2)"),"regex")</f>
        <v>regex</v>
      </c>
      <c r="J1751" s="2" t="b">
        <f t="shared" si="1"/>
        <v>0</v>
      </c>
    </row>
    <row r="1752">
      <c r="A1752" s="1" t="s">
        <v>1106</v>
      </c>
      <c r="B1752" s="3">
        <v>37.0</v>
      </c>
      <c r="C1752" s="3">
        <v>60.0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2" t="str">
        <f>IFERROR(__xludf.DUMMYFUNCTION("INDEX(SPLIT(A1752, ""/""), 0, 2)"),"regex")</f>
        <v>regex</v>
      </c>
      <c r="J1752" s="2" t="b">
        <f t="shared" si="1"/>
        <v>0</v>
      </c>
    </row>
    <row r="1753">
      <c r="A1753" s="1" t="s">
        <v>1107</v>
      </c>
      <c r="B1753" s="3">
        <v>49.0</v>
      </c>
      <c r="C1753" s="3">
        <v>60.0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2" t="str">
        <f>IFERROR(__xludf.DUMMYFUNCTION("INDEX(SPLIT(A1753, ""/""), 0, 2)"),"regex")</f>
        <v>regex</v>
      </c>
      <c r="J1753" s="2" t="b">
        <f t="shared" si="1"/>
        <v>0</v>
      </c>
    </row>
    <row r="1754">
      <c r="A1754" s="1" t="s">
        <v>1108</v>
      </c>
      <c r="B1754" s="3">
        <v>13.0</v>
      </c>
      <c r="C1754" s="3">
        <v>60.0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2" t="str">
        <f>IFERROR(__xludf.DUMMYFUNCTION("INDEX(SPLIT(A1754, ""/""), 0, 2)"),"regex")</f>
        <v>regex</v>
      </c>
      <c r="J1754" s="2" t="b">
        <f t="shared" si="1"/>
        <v>0</v>
      </c>
    </row>
    <row r="1755">
      <c r="A1755" s="1" t="s">
        <v>1109</v>
      </c>
      <c r="B1755" s="3">
        <v>191.0</v>
      </c>
      <c r="C1755" s="3">
        <v>60.0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2" t="str">
        <f>IFERROR(__xludf.DUMMYFUNCTION("INDEX(SPLIT(A1755, ""/""), 0, 2)"),"regex")</f>
        <v>regex</v>
      </c>
      <c r="J1755" s="2" t="b">
        <f t="shared" si="1"/>
        <v>0</v>
      </c>
    </row>
    <row r="1756">
      <c r="A1756" s="1" t="s">
        <v>1110</v>
      </c>
      <c r="B1756" s="3">
        <v>119.0</v>
      </c>
      <c r="C1756" s="3">
        <v>60.0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2" t="str">
        <f>IFERROR(__xludf.DUMMYFUNCTION("INDEX(SPLIT(A1756, ""/""), 0, 2)"),"regex")</f>
        <v>regex</v>
      </c>
      <c r="J1756" s="2" t="b">
        <f t="shared" si="1"/>
        <v>0</v>
      </c>
    </row>
    <row r="1757">
      <c r="A1757" s="1" t="s">
        <v>1111</v>
      </c>
      <c r="B1757" s="3">
        <v>21.0</v>
      </c>
      <c r="C1757" s="3">
        <v>60.0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2" t="str">
        <f>IFERROR(__xludf.DUMMYFUNCTION("INDEX(SPLIT(A1757, ""/""), 0, 2)"),"regex")</f>
        <v>regex</v>
      </c>
      <c r="J1757" s="2" t="b">
        <f t="shared" si="1"/>
        <v>0</v>
      </c>
    </row>
    <row r="1758">
      <c r="A1758" s="1" t="s">
        <v>1112</v>
      </c>
      <c r="B1758" s="3">
        <v>15.0</v>
      </c>
      <c r="C1758" s="3">
        <v>60.0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2" t="str">
        <f>IFERROR(__xludf.DUMMYFUNCTION("INDEX(SPLIT(A1758, ""/""), 0, 2)"),"regex")</f>
        <v>regex</v>
      </c>
      <c r="J1758" s="2" t="b">
        <f t="shared" si="1"/>
        <v>0</v>
      </c>
    </row>
    <row r="1759">
      <c r="A1759" s="1" t="s">
        <v>1113</v>
      </c>
      <c r="B1759" s="3">
        <v>110.0</v>
      </c>
      <c r="C1759" s="3">
        <v>60.0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2" t="str">
        <f>IFERROR(__xludf.DUMMYFUNCTION("INDEX(SPLIT(A1759, ""/""), 0, 2)"),"regex")</f>
        <v>regex</v>
      </c>
      <c r="J1759" s="2" t="b">
        <f t="shared" si="1"/>
        <v>0</v>
      </c>
    </row>
    <row r="1760">
      <c r="A1760" s="1" t="s">
        <v>1114</v>
      </c>
      <c r="B1760" s="3">
        <v>56.0</v>
      </c>
      <c r="C1760" s="3">
        <v>60.0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2" t="str">
        <f>IFERROR(__xludf.DUMMYFUNCTION("INDEX(SPLIT(A1760, ""/""), 0, 2)"),"regex")</f>
        <v>regex</v>
      </c>
      <c r="J1760" s="2" t="b">
        <f t="shared" si="1"/>
        <v>0</v>
      </c>
    </row>
    <row r="1761">
      <c r="A1761" s="1" t="s">
        <v>1115</v>
      </c>
      <c r="B1761" s="3">
        <v>10.0</v>
      </c>
      <c r="C1761" s="3">
        <v>60.0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2" t="str">
        <f>IFERROR(__xludf.DUMMYFUNCTION("INDEX(SPLIT(A1761, ""/""), 0, 2)"),"regex")</f>
        <v>regex</v>
      </c>
      <c r="J1761" s="2" t="b">
        <f t="shared" si="1"/>
        <v>0</v>
      </c>
    </row>
    <row r="1762">
      <c r="A1762" s="1" t="s">
        <v>1116</v>
      </c>
      <c r="B1762" s="3">
        <v>24.0</v>
      </c>
      <c r="C1762" s="3">
        <v>60.0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2" t="str">
        <f>IFERROR(__xludf.DUMMYFUNCTION("INDEX(SPLIT(A1762, ""/""), 0, 2)"),"regex")</f>
        <v>regex</v>
      </c>
      <c r="J1762" s="2" t="b">
        <f t="shared" si="1"/>
        <v>0</v>
      </c>
    </row>
    <row r="1763">
      <c r="A1763" s="1" t="s">
        <v>1117</v>
      </c>
      <c r="B1763" s="3">
        <v>53.0</v>
      </c>
      <c r="C1763" s="3">
        <v>60.0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2" t="str">
        <f>IFERROR(__xludf.DUMMYFUNCTION("INDEX(SPLIT(A1763, ""/""), 0, 2)"),"regex")</f>
        <v>regex</v>
      </c>
      <c r="J1763" s="2" t="b">
        <f t="shared" si="1"/>
        <v>0</v>
      </c>
    </row>
    <row r="1764">
      <c r="A1764" s="1" t="s">
        <v>1118</v>
      </c>
      <c r="B1764" s="3">
        <v>69.0</v>
      </c>
      <c r="C1764" s="3">
        <v>60.0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2" t="str">
        <f>IFERROR(__xludf.DUMMYFUNCTION("INDEX(SPLIT(A1764, ""/""), 0, 2)"),"regex")</f>
        <v>regex</v>
      </c>
      <c r="J1764" s="2" t="b">
        <f t="shared" si="1"/>
        <v>0</v>
      </c>
    </row>
    <row r="1765">
      <c r="A1765" s="1" t="s">
        <v>1119</v>
      </c>
      <c r="B1765" s="3">
        <v>21.0</v>
      </c>
      <c r="C1765" s="3">
        <v>60.0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2" t="str">
        <f>IFERROR(__xludf.DUMMYFUNCTION("INDEX(SPLIT(A1765, ""/""), 0, 2)"),"regex")</f>
        <v>regex</v>
      </c>
      <c r="J1765" s="2" t="b">
        <f t="shared" si="1"/>
        <v>0</v>
      </c>
    </row>
    <row r="1766">
      <c r="A1766" s="1" t="s">
        <v>1120</v>
      </c>
      <c r="B1766" s="3">
        <v>39.0</v>
      </c>
      <c r="C1766" s="3">
        <v>60.0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2" t="str">
        <f>IFERROR(__xludf.DUMMYFUNCTION("INDEX(SPLIT(A1766, ""/""), 0, 2)"),"regex")</f>
        <v>regex</v>
      </c>
      <c r="J1766" s="2" t="b">
        <f t="shared" si="1"/>
        <v>0</v>
      </c>
    </row>
    <row r="1767">
      <c r="A1767" s="1" t="s">
        <v>1121</v>
      </c>
      <c r="B1767" s="3">
        <v>61.0</v>
      </c>
      <c r="C1767" s="3">
        <v>60.0</v>
      </c>
      <c r="D1767" s="3">
        <v>0.0</v>
      </c>
      <c r="E1767" s="3">
        <v>0.0</v>
      </c>
      <c r="F1767" s="3">
        <v>0.0</v>
      </c>
      <c r="G1767" s="3">
        <v>0.0</v>
      </c>
      <c r="H1767" s="3">
        <v>0.0</v>
      </c>
      <c r="I1767" s="2" t="str">
        <f>IFERROR(__xludf.DUMMYFUNCTION("INDEX(SPLIT(A1767, ""/""), 0, 2)"),"regex")</f>
        <v>regex</v>
      </c>
      <c r="J1767" s="2" t="b">
        <f t="shared" si="1"/>
        <v>0</v>
      </c>
    </row>
    <row r="1768">
      <c r="A1768" s="1" t="s">
        <v>1122</v>
      </c>
      <c r="B1768" s="3">
        <v>14.0</v>
      </c>
      <c r="C1768" s="3">
        <v>60.0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2" t="str">
        <f>IFERROR(__xludf.DUMMYFUNCTION("INDEX(SPLIT(A1768, ""/""), 0, 2)"),"regex")</f>
        <v>regex</v>
      </c>
      <c r="J1768" s="2" t="b">
        <f t="shared" si="1"/>
        <v>0</v>
      </c>
    </row>
    <row r="1769">
      <c r="A1769" s="1" t="s">
        <v>1123</v>
      </c>
      <c r="B1769" s="3">
        <v>45.0</v>
      </c>
      <c r="C1769" s="3">
        <v>60.0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2" t="str">
        <f>IFERROR(__xludf.DUMMYFUNCTION("INDEX(SPLIT(A1769, ""/""), 0, 2)"),"regex")</f>
        <v>regex</v>
      </c>
      <c r="J1769" s="2" t="b">
        <f t="shared" si="1"/>
        <v>0</v>
      </c>
    </row>
    <row r="1770">
      <c r="A1770" s="1" t="s">
        <v>1124</v>
      </c>
      <c r="B1770" s="3">
        <v>48.0</v>
      </c>
      <c r="C1770" s="3">
        <v>60.0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2" t="str">
        <f>IFERROR(__xludf.DUMMYFUNCTION("INDEX(SPLIT(A1770, ""/""), 0, 2)"),"regex")</f>
        <v>regex</v>
      </c>
      <c r="J1770" s="2" t="b">
        <f t="shared" si="1"/>
        <v>0</v>
      </c>
    </row>
    <row r="1771">
      <c r="A1771" s="1" t="s">
        <v>1125</v>
      </c>
      <c r="B1771" s="3">
        <v>227.0</v>
      </c>
      <c r="C1771" s="3">
        <v>60.0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2" t="str">
        <f>IFERROR(__xludf.DUMMYFUNCTION("INDEX(SPLIT(A1771, ""/""), 0, 2)"),"regex")</f>
        <v>regex</v>
      </c>
      <c r="J1771" s="2" t="b">
        <f t="shared" si="1"/>
        <v>0</v>
      </c>
    </row>
    <row r="1772">
      <c r="A1772" s="1" t="s">
        <v>1126</v>
      </c>
      <c r="B1772" s="3">
        <v>67.0</v>
      </c>
      <c r="C1772" s="3">
        <v>60.0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2" t="str">
        <f>IFERROR(__xludf.DUMMYFUNCTION("INDEX(SPLIT(A1772, ""/""), 0, 2)"),"regex")</f>
        <v>regex</v>
      </c>
      <c r="J1772" s="2" t="b">
        <f t="shared" si="1"/>
        <v>0</v>
      </c>
    </row>
    <row r="1773">
      <c r="A1773" s="1" t="s">
        <v>1127</v>
      </c>
      <c r="B1773" s="3">
        <v>23.0</v>
      </c>
      <c r="C1773" s="3">
        <v>60.0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2" t="str">
        <f>IFERROR(__xludf.DUMMYFUNCTION("INDEX(SPLIT(A1773, ""/""), 0, 2)"),"regex")</f>
        <v>regex</v>
      </c>
      <c r="J1773" s="2" t="b">
        <f t="shared" si="1"/>
        <v>0</v>
      </c>
    </row>
    <row r="1774">
      <c r="A1774" s="1" t="s">
        <v>1128</v>
      </c>
      <c r="B1774" s="3">
        <v>14.0</v>
      </c>
      <c r="C1774" s="3">
        <v>60.0</v>
      </c>
      <c r="D1774" s="3">
        <v>0.0</v>
      </c>
      <c r="E1774" s="3">
        <v>0.0</v>
      </c>
      <c r="F1774" s="3">
        <v>0.0</v>
      </c>
      <c r="G1774" s="3">
        <v>0.0</v>
      </c>
      <c r="H1774" s="3">
        <v>0.0</v>
      </c>
      <c r="I1774" s="2" t="str">
        <f>IFERROR(__xludf.DUMMYFUNCTION("INDEX(SPLIT(A1774, ""/""), 0, 2)"),"regex")</f>
        <v>regex</v>
      </c>
      <c r="J1774" s="2" t="b">
        <f t="shared" si="1"/>
        <v>0</v>
      </c>
    </row>
    <row r="1775">
      <c r="A1775" s="1" t="s">
        <v>1129</v>
      </c>
      <c r="B1775" s="3">
        <v>15.0</v>
      </c>
      <c r="C1775" s="3">
        <v>60.0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2" t="str">
        <f>IFERROR(__xludf.DUMMYFUNCTION("INDEX(SPLIT(A1775, ""/""), 0, 2)"),"regex")</f>
        <v>regex</v>
      </c>
      <c r="J1775" s="2" t="b">
        <f t="shared" si="1"/>
        <v>0</v>
      </c>
    </row>
    <row r="1776">
      <c r="A1776" s="1" t="s">
        <v>1130</v>
      </c>
      <c r="B1776" s="3">
        <v>11.0</v>
      </c>
      <c r="C1776" s="3">
        <v>60.0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2" t="str">
        <f>IFERROR(__xludf.DUMMYFUNCTION("INDEX(SPLIT(A1776, ""/""), 0, 2)"),"regex")</f>
        <v>regex</v>
      </c>
      <c r="J1776" s="2" t="b">
        <f t="shared" si="1"/>
        <v>0</v>
      </c>
    </row>
    <row r="1777">
      <c r="A1777" s="1" t="s">
        <v>1131</v>
      </c>
      <c r="B1777" s="3">
        <v>43.0</v>
      </c>
      <c r="C1777" s="3">
        <v>60.0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2" t="str">
        <f>IFERROR(__xludf.DUMMYFUNCTION("INDEX(SPLIT(A1777, ""/""), 0, 2)"),"regex")</f>
        <v>regex</v>
      </c>
      <c r="J1777" s="2" t="b">
        <f t="shared" si="1"/>
        <v>0</v>
      </c>
    </row>
    <row r="1778">
      <c r="A1778" s="1" t="s">
        <v>1132</v>
      </c>
      <c r="B1778" s="3">
        <v>93.0</v>
      </c>
      <c r="C1778" s="3">
        <v>60.0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2" t="str">
        <f>IFERROR(__xludf.DUMMYFUNCTION("INDEX(SPLIT(A1778, ""/""), 0, 2)"),"regex")</f>
        <v>regex</v>
      </c>
      <c r="J1778" s="2" t="b">
        <f t="shared" si="1"/>
        <v>0</v>
      </c>
    </row>
    <row r="1779">
      <c r="A1779" s="1" t="s">
        <v>1133</v>
      </c>
      <c r="B1779" s="3">
        <v>102.0</v>
      </c>
      <c r="C1779" s="3">
        <v>60.0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2" t="str">
        <f>IFERROR(__xludf.DUMMYFUNCTION("INDEX(SPLIT(A1779, ""/""), 0, 2)"),"regex")</f>
        <v>regex</v>
      </c>
      <c r="J1779" s="2" t="b">
        <f t="shared" si="1"/>
        <v>0</v>
      </c>
    </row>
    <row r="1780">
      <c r="A1780" s="1" t="s">
        <v>1134</v>
      </c>
      <c r="B1780" s="3">
        <v>74.0</v>
      </c>
      <c r="C1780" s="3">
        <v>60.0</v>
      </c>
      <c r="D1780" s="3">
        <v>0.0</v>
      </c>
      <c r="E1780" s="3">
        <v>0.0</v>
      </c>
      <c r="F1780" s="3">
        <v>0.0</v>
      </c>
      <c r="G1780" s="3">
        <v>0.0</v>
      </c>
      <c r="H1780" s="3">
        <v>0.0</v>
      </c>
      <c r="I1780" s="2" t="str">
        <f>IFERROR(__xludf.DUMMYFUNCTION("INDEX(SPLIT(A1780, ""/""), 0, 2)"),"regex")</f>
        <v>regex</v>
      </c>
      <c r="J1780" s="2" t="b">
        <f t="shared" si="1"/>
        <v>0</v>
      </c>
    </row>
    <row r="1781">
      <c r="A1781" s="1" t="s">
        <v>1135</v>
      </c>
      <c r="B1781" s="3">
        <v>46.0</v>
      </c>
      <c r="C1781" s="3">
        <v>60.0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2" t="str">
        <f>IFERROR(__xludf.DUMMYFUNCTION("INDEX(SPLIT(A1781, ""/""), 0, 2)"),"regex")</f>
        <v>regex</v>
      </c>
      <c r="J1781" s="2" t="b">
        <f t="shared" si="1"/>
        <v>0</v>
      </c>
    </row>
    <row r="1782">
      <c r="A1782" s="1" t="s">
        <v>1136</v>
      </c>
      <c r="B1782" s="3">
        <v>8.0</v>
      </c>
      <c r="C1782" s="3">
        <v>60.0</v>
      </c>
      <c r="D1782" s="3">
        <v>0.0</v>
      </c>
      <c r="E1782" s="3">
        <v>0.0</v>
      </c>
      <c r="F1782" s="3">
        <v>0.0</v>
      </c>
      <c r="G1782" s="3">
        <v>0.0</v>
      </c>
      <c r="H1782" s="3">
        <v>0.0</v>
      </c>
      <c r="I1782" s="2" t="str">
        <f>IFERROR(__xludf.DUMMYFUNCTION("INDEX(SPLIT(A1782, ""/""), 0, 2)"),"regex")</f>
        <v>regex</v>
      </c>
      <c r="J1782" s="2" t="b">
        <f t="shared" si="1"/>
        <v>0</v>
      </c>
    </row>
    <row r="1783">
      <c r="A1783" s="1" t="s">
        <v>1137</v>
      </c>
      <c r="B1783" s="3">
        <v>138.0</v>
      </c>
      <c r="C1783" s="3">
        <v>60.0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2" t="str">
        <f>IFERROR(__xludf.DUMMYFUNCTION("INDEX(SPLIT(A1783, ""/""), 0, 2)"),"regex")</f>
        <v>regex</v>
      </c>
      <c r="J1783" s="2" t="b">
        <f t="shared" si="1"/>
        <v>0</v>
      </c>
    </row>
    <row r="1784">
      <c r="A1784" s="1" t="s">
        <v>1138</v>
      </c>
      <c r="B1784" s="3">
        <v>10.0</v>
      </c>
      <c r="C1784" s="3">
        <v>60.0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2" t="str">
        <f>IFERROR(__xludf.DUMMYFUNCTION("INDEX(SPLIT(A1784, ""/""), 0, 2)"),"regex")</f>
        <v>regex</v>
      </c>
      <c r="J1784" s="2" t="b">
        <f t="shared" si="1"/>
        <v>0</v>
      </c>
    </row>
    <row r="1785">
      <c r="A1785" s="1" t="s">
        <v>1139</v>
      </c>
      <c r="B1785" s="3">
        <v>142.0</v>
      </c>
      <c r="C1785" s="3">
        <v>60.0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2" t="str">
        <f>IFERROR(__xludf.DUMMYFUNCTION("INDEX(SPLIT(A1785, ""/""), 0, 2)"),"regex")</f>
        <v>regex</v>
      </c>
      <c r="J1785" s="2" t="b">
        <f t="shared" si="1"/>
        <v>0</v>
      </c>
    </row>
    <row r="1786">
      <c r="A1786" s="1" t="s">
        <v>1140</v>
      </c>
      <c r="B1786" s="3">
        <v>16.0</v>
      </c>
      <c r="C1786" s="3">
        <v>60.0</v>
      </c>
      <c r="D1786" s="3">
        <v>0.0</v>
      </c>
      <c r="E1786" s="3">
        <v>0.0</v>
      </c>
      <c r="F1786" s="3">
        <v>0.0</v>
      </c>
      <c r="G1786" s="3">
        <v>0.0</v>
      </c>
      <c r="H1786" s="3">
        <v>0.0</v>
      </c>
      <c r="I1786" s="2" t="str">
        <f>IFERROR(__xludf.DUMMYFUNCTION("INDEX(SPLIT(A1786, ""/""), 0, 2)"),"regex")</f>
        <v>regex</v>
      </c>
      <c r="J1786" s="2" t="b">
        <f t="shared" si="1"/>
        <v>0</v>
      </c>
    </row>
    <row r="1787">
      <c r="A1787" s="1" t="s">
        <v>1141</v>
      </c>
      <c r="B1787" s="3">
        <v>14.0</v>
      </c>
      <c r="C1787" s="3">
        <v>60.0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2" t="str">
        <f>IFERROR(__xludf.DUMMYFUNCTION("INDEX(SPLIT(A1787, ""/""), 0, 2)"),"regex")</f>
        <v>regex</v>
      </c>
      <c r="J1787" s="2" t="b">
        <f t="shared" si="1"/>
        <v>0</v>
      </c>
    </row>
    <row r="1788">
      <c r="A1788" s="1" t="s">
        <v>1142</v>
      </c>
      <c r="B1788" s="3">
        <v>147.0</v>
      </c>
      <c r="C1788" s="3">
        <v>60.0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2" t="str">
        <f>IFERROR(__xludf.DUMMYFUNCTION("INDEX(SPLIT(A1788, ""/""), 0, 2)"),"regex")</f>
        <v>regex</v>
      </c>
      <c r="J1788" s="2" t="b">
        <f t="shared" si="1"/>
        <v>0</v>
      </c>
    </row>
    <row r="1789">
      <c r="A1789" s="1" t="s">
        <v>1143</v>
      </c>
      <c r="B1789" s="3">
        <v>22.0</v>
      </c>
      <c r="C1789" s="3">
        <v>60.0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2" t="str">
        <f>IFERROR(__xludf.DUMMYFUNCTION("INDEX(SPLIT(A1789, ""/""), 0, 2)"),"regex")</f>
        <v>regex</v>
      </c>
      <c r="J1789" s="2" t="b">
        <f t="shared" si="1"/>
        <v>0</v>
      </c>
    </row>
    <row r="1790">
      <c r="A1790" s="1" t="s">
        <v>1144</v>
      </c>
      <c r="B1790" s="3">
        <v>38.0</v>
      </c>
      <c r="C1790" s="3">
        <v>60.0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2" t="str">
        <f>IFERROR(__xludf.DUMMYFUNCTION("INDEX(SPLIT(A1790, ""/""), 0, 2)"),"regex")</f>
        <v>regex</v>
      </c>
      <c r="J1790" s="2" t="b">
        <f t="shared" si="1"/>
        <v>0</v>
      </c>
    </row>
    <row r="1791">
      <c r="A1791" s="1" t="s">
        <v>1145</v>
      </c>
      <c r="B1791" s="3">
        <v>28.0</v>
      </c>
      <c r="C1791" s="3">
        <v>60.0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2" t="str">
        <f>IFERROR(__xludf.DUMMYFUNCTION("INDEX(SPLIT(A1791, ""/""), 0, 2)"),"regex")</f>
        <v>regex</v>
      </c>
      <c r="J1791" s="2" t="b">
        <f t="shared" si="1"/>
        <v>0</v>
      </c>
    </row>
    <row r="1792">
      <c r="A1792" s="1" t="s">
        <v>1146</v>
      </c>
      <c r="B1792" s="3">
        <v>17.0</v>
      </c>
      <c r="C1792" s="3">
        <v>60.0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2" t="str">
        <f>IFERROR(__xludf.DUMMYFUNCTION("INDEX(SPLIT(A1792, ""/""), 0, 2)"),"regex")</f>
        <v>regex</v>
      </c>
      <c r="J1792" s="2" t="b">
        <f t="shared" si="1"/>
        <v>0</v>
      </c>
    </row>
    <row r="1793">
      <c r="A1793" s="1" t="s">
        <v>1147</v>
      </c>
      <c r="B1793" s="3">
        <v>10.0</v>
      </c>
      <c r="C1793" s="3">
        <v>60.0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2" t="str">
        <f>IFERROR(__xludf.DUMMYFUNCTION("INDEX(SPLIT(A1793, ""/""), 0, 2)"),"regex")</f>
        <v>regex</v>
      </c>
      <c r="J1793" s="2" t="b">
        <f t="shared" si="1"/>
        <v>0</v>
      </c>
    </row>
    <row r="1794">
      <c r="A1794" s="1" t="s">
        <v>1148</v>
      </c>
      <c r="B1794" s="3">
        <v>56.0</v>
      </c>
      <c r="C1794" s="3">
        <v>60.0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2" t="str">
        <f>IFERROR(__xludf.DUMMYFUNCTION("INDEX(SPLIT(A1794, ""/""), 0, 2)"),"regex")</f>
        <v>regex</v>
      </c>
      <c r="J1794" s="2" t="b">
        <f t="shared" si="1"/>
        <v>0</v>
      </c>
    </row>
    <row r="1795">
      <c r="A1795" s="1" t="s">
        <v>1149</v>
      </c>
      <c r="B1795" s="3">
        <v>47.0</v>
      </c>
      <c r="C1795" s="3">
        <v>60.0</v>
      </c>
      <c r="D1795" s="3">
        <v>0.0</v>
      </c>
      <c r="E1795" s="3">
        <v>0.0</v>
      </c>
      <c r="F1795" s="3">
        <v>0.0</v>
      </c>
      <c r="G1795" s="3">
        <v>0.0</v>
      </c>
      <c r="H1795" s="3">
        <v>0.0</v>
      </c>
      <c r="I1795" s="2" t="str">
        <f>IFERROR(__xludf.DUMMYFUNCTION("INDEX(SPLIT(A1795, ""/""), 0, 2)"),"regex")</f>
        <v>regex</v>
      </c>
      <c r="J1795" s="2" t="b">
        <f t="shared" si="1"/>
        <v>0</v>
      </c>
    </row>
    <row r="1796">
      <c r="A1796" s="1" t="s">
        <v>1150</v>
      </c>
      <c r="B1796" s="3">
        <v>23.0</v>
      </c>
      <c r="C1796" s="3">
        <v>60.0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2" t="str">
        <f>IFERROR(__xludf.DUMMYFUNCTION("INDEX(SPLIT(A1796, ""/""), 0, 2)"),"regex")</f>
        <v>regex</v>
      </c>
      <c r="J1796" s="2" t="b">
        <f t="shared" si="1"/>
        <v>0</v>
      </c>
    </row>
    <row r="1797">
      <c r="A1797" s="1" t="s">
        <v>1151</v>
      </c>
      <c r="B1797" s="3">
        <v>38.0</v>
      </c>
      <c r="C1797" s="3">
        <v>60.0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2" t="str">
        <f>IFERROR(__xludf.DUMMYFUNCTION("INDEX(SPLIT(A1797, ""/""), 0, 2)"),"regex")</f>
        <v>regex</v>
      </c>
      <c r="J1797" s="2" t="b">
        <f t="shared" si="1"/>
        <v>0</v>
      </c>
    </row>
    <row r="1798">
      <c r="A1798" s="1" t="s">
        <v>1152</v>
      </c>
      <c r="B1798" s="3">
        <v>16.0</v>
      </c>
      <c r="C1798" s="3">
        <v>60.0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2" t="str">
        <f>IFERROR(__xludf.DUMMYFUNCTION("INDEX(SPLIT(A1798, ""/""), 0, 2)"),"regex")</f>
        <v>regex</v>
      </c>
      <c r="J1798" s="2" t="b">
        <f t="shared" si="1"/>
        <v>0</v>
      </c>
    </row>
    <row r="1799">
      <c r="A1799" s="1" t="s">
        <v>1153</v>
      </c>
      <c r="B1799" s="3">
        <v>5.0</v>
      </c>
      <c r="C1799" s="3">
        <v>60.0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2" t="str">
        <f>IFERROR(__xludf.DUMMYFUNCTION("INDEX(SPLIT(A1799, ""/""), 0, 2)"),"regex")</f>
        <v>regex</v>
      </c>
      <c r="J1799" s="2" t="b">
        <f t="shared" si="1"/>
        <v>0</v>
      </c>
    </row>
    <row r="1800">
      <c r="A1800" s="1" t="s">
        <v>1154</v>
      </c>
      <c r="B1800" s="3">
        <v>196.0</v>
      </c>
      <c r="C1800" s="3">
        <v>60.0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2" t="str">
        <f>IFERROR(__xludf.DUMMYFUNCTION("INDEX(SPLIT(A1800, ""/""), 0, 2)"),"regex")</f>
        <v>regex</v>
      </c>
      <c r="J1800" s="2" t="b">
        <f t="shared" si="1"/>
        <v>0</v>
      </c>
    </row>
    <row r="1801">
      <c r="A1801" s="1" t="s">
        <v>1155</v>
      </c>
      <c r="B1801" s="3">
        <v>150.0</v>
      </c>
      <c r="C1801" s="3">
        <v>60.0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2" t="str">
        <f>IFERROR(__xludf.DUMMYFUNCTION("INDEX(SPLIT(A1801, ""/""), 0, 2)"),"regex")</f>
        <v>regex</v>
      </c>
      <c r="J1801" s="2" t="b">
        <f t="shared" si="1"/>
        <v>0</v>
      </c>
    </row>
    <row r="1802">
      <c r="A1802" s="1" t="s">
        <v>1156</v>
      </c>
      <c r="B1802" s="3">
        <v>7.0</v>
      </c>
      <c r="C1802" s="3">
        <v>60.0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2" t="str">
        <f>IFERROR(__xludf.DUMMYFUNCTION("INDEX(SPLIT(A1802, ""/""), 0, 2)"),"regex")</f>
        <v>regex</v>
      </c>
      <c r="J1802" s="2" t="b">
        <f t="shared" si="1"/>
        <v>0</v>
      </c>
    </row>
    <row r="1803">
      <c r="A1803" s="1" t="s">
        <v>1157</v>
      </c>
      <c r="B1803" s="3">
        <v>54.0</v>
      </c>
      <c r="C1803" s="3">
        <v>60.0</v>
      </c>
      <c r="D1803" s="3">
        <v>0.0</v>
      </c>
      <c r="E1803" s="3">
        <v>0.0</v>
      </c>
      <c r="F1803" s="3">
        <v>0.0</v>
      </c>
      <c r="G1803" s="3">
        <v>0.0</v>
      </c>
      <c r="H1803" s="3">
        <v>0.0</v>
      </c>
      <c r="I1803" s="2" t="str">
        <f>IFERROR(__xludf.DUMMYFUNCTION("INDEX(SPLIT(A1803, ""/""), 0, 2)"),"regex")</f>
        <v>regex</v>
      </c>
      <c r="J1803" s="2" t="b">
        <f t="shared" si="1"/>
        <v>0</v>
      </c>
    </row>
    <row r="1804">
      <c r="A1804" s="1" t="s">
        <v>1158</v>
      </c>
      <c r="B1804" s="3">
        <v>76.0</v>
      </c>
      <c r="C1804" s="3">
        <v>60.0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2" t="str">
        <f>IFERROR(__xludf.DUMMYFUNCTION("INDEX(SPLIT(A1804, ""/""), 0, 2)"),"regex")</f>
        <v>regex</v>
      </c>
      <c r="J1804" s="2" t="b">
        <f t="shared" si="1"/>
        <v>0</v>
      </c>
    </row>
    <row r="1805">
      <c r="A1805" s="1" t="s">
        <v>1159</v>
      </c>
      <c r="B1805" s="3">
        <v>46.0</v>
      </c>
      <c r="C1805" s="3">
        <v>60.0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2" t="str">
        <f>IFERROR(__xludf.DUMMYFUNCTION("INDEX(SPLIT(A1805, ""/""), 0, 2)"),"regex")</f>
        <v>regex</v>
      </c>
      <c r="J1805" s="2" t="b">
        <f t="shared" si="1"/>
        <v>0</v>
      </c>
    </row>
    <row r="1806">
      <c r="A1806" s="1" t="s">
        <v>1160</v>
      </c>
      <c r="B1806" s="3">
        <v>83.0</v>
      </c>
      <c r="C1806" s="3">
        <v>60.0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2" t="str">
        <f>IFERROR(__xludf.DUMMYFUNCTION("INDEX(SPLIT(A1806, ""/""), 0, 2)"),"regex")</f>
        <v>regex</v>
      </c>
      <c r="J1806" s="2" t="b">
        <f t="shared" si="1"/>
        <v>0</v>
      </c>
    </row>
    <row r="1807">
      <c r="A1807" s="1" t="s">
        <v>1161</v>
      </c>
      <c r="B1807" s="3">
        <v>10.0</v>
      </c>
      <c r="C1807" s="3">
        <v>60.0</v>
      </c>
      <c r="D1807" s="3">
        <v>0.0</v>
      </c>
      <c r="E1807" s="3">
        <v>0.0</v>
      </c>
      <c r="F1807" s="3">
        <v>0.0</v>
      </c>
      <c r="G1807" s="3">
        <v>0.0</v>
      </c>
      <c r="H1807" s="3">
        <v>0.0</v>
      </c>
      <c r="I1807" s="2" t="str">
        <f>IFERROR(__xludf.DUMMYFUNCTION("INDEX(SPLIT(A1807, ""/""), 0, 2)"),"regex")</f>
        <v>regex</v>
      </c>
      <c r="J1807" s="2" t="b">
        <f t="shared" si="1"/>
        <v>0</v>
      </c>
    </row>
    <row r="1808">
      <c r="A1808" s="1" t="s">
        <v>1162</v>
      </c>
      <c r="B1808" s="3">
        <v>22.0</v>
      </c>
      <c r="C1808" s="3">
        <v>60.0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2" t="str">
        <f>IFERROR(__xludf.DUMMYFUNCTION("INDEX(SPLIT(A1808, ""/""), 0, 2)"),"regex")</f>
        <v>regex</v>
      </c>
      <c r="J1808" s="2" t="b">
        <f t="shared" si="1"/>
        <v>0</v>
      </c>
    </row>
    <row r="1809">
      <c r="A1809" s="1" t="s">
        <v>1163</v>
      </c>
      <c r="B1809" s="3">
        <v>69.0</v>
      </c>
      <c r="C1809" s="3">
        <v>60.0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2" t="str">
        <f>IFERROR(__xludf.DUMMYFUNCTION("INDEX(SPLIT(A1809, ""/""), 0, 2)"),"regex")</f>
        <v>regex</v>
      </c>
      <c r="J1809" s="2" t="b">
        <f t="shared" si="1"/>
        <v>0</v>
      </c>
    </row>
    <row r="1810">
      <c r="A1810" s="1" t="s">
        <v>1164</v>
      </c>
      <c r="B1810" s="3">
        <v>23.0</v>
      </c>
      <c r="C1810" s="3">
        <v>60.0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2" t="str">
        <f>IFERROR(__xludf.DUMMYFUNCTION("INDEX(SPLIT(A1810, ""/""), 0, 2)"),"regex")</f>
        <v>regex</v>
      </c>
      <c r="J1810" s="2" t="b">
        <f t="shared" si="1"/>
        <v>0</v>
      </c>
    </row>
    <row r="1811">
      <c r="A1811" s="1" t="s">
        <v>1165</v>
      </c>
      <c r="B1811" s="3">
        <v>35.0</v>
      </c>
      <c r="C1811" s="3">
        <v>60.0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2" t="str">
        <f>IFERROR(__xludf.DUMMYFUNCTION("INDEX(SPLIT(A1811, ""/""), 0, 2)"),"regex")</f>
        <v>regex</v>
      </c>
      <c r="J1811" s="2" t="b">
        <f t="shared" si="1"/>
        <v>0</v>
      </c>
    </row>
    <row r="1812">
      <c r="A1812" s="1" t="s">
        <v>1166</v>
      </c>
      <c r="B1812" s="3">
        <v>36.0</v>
      </c>
      <c r="C1812" s="3">
        <v>60.0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2" t="str">
        <f>IFERROR(__xludf.DUMMYFUNCTION("INDEX(SPLIT(A1812, ""/""), 0, 2)"),"regex")</f>
        <v>regex</v>
      </c>
      <c r="J1812" s="2" t="b">
        <f t="shared" si="1"/>
        <v>0</v>
      </c>
    </row>
    <row r="1813">
      <c r="A1813" s="1" t="s">
        <v>1167</v>
      </c>
      <c r="B1813" s="3">
        <v>4.0</v>
      </c>
      <c r="C1813" s="3">
        <v>60.0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2" t="str">
        <f>IFERROR(__xludf.DUMMYFUNCTION("INDEX(SPLIT(A1813, ""/""), 0, 2)"),"regex")</f>
        <v>regex</v>
      </c>
      <c r="J1813" s="2" t="b">
        <f t="shared" si="1"/>
        <v>0</v>
      </c>
    </row>
    <row r="1814">
      <c r="A1814" s="1" t="s">
        <v>1168</v>
      </c>
      <c r="B1814" s="3">
        <v>95.0</v>
      </c>
      <c r="C1814" s="3">
        <v>60.0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2" t="str">
        <f>IFERROR(__xludf.DUMMYFUNCTION("INDEX(SPLIT(A1814, ""/""), 0, 2)"),"regex")</f>
        <v>regex</v>
      </c>
      <c r="J1814" s="2" t="b">
        <f t="shared" si="1"/>
        <v>0</v>
      </c>
    </row>
    <row r="1815">
      <c r="A1815" s="1" t="s">
        <v>1169</v>
      </c>
      <c r="B1815" s="3">
        <v>49.0</v>
      </c>
      <c r="C1815" s="3">
        <v>60.0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2" t="str">
        <f>IFERROR(__xludf.DUMMYFUNCTION("INDEX(SPLIT(A1815, ""/""), 0, 2)"),"regex")</f>
        <v>regex</v>
      </c>
      <c r="J1815" s="2" t="b">
        <f t="shared" si="1"/>
        <v>0</v>
      </c>
    </row>
    <row r="1816">
      <c r="A1816" s="1" t="s">
        <v>1170</v>
      </c>
      <c r="B1816" s="3">
        <v>35.0</v>
      </c>
      <c r="C1816" s="3">
        <v>60.0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2" t="str">
        <f>IFERROR(__xludf.DUMMYFUNCTION("INDEX(SPLIT(A1816, ""/""), 0, 2)"),"regex")</f>
        <v>regex</v>
      </c>
      <c r="J1816" s="2" t="b">
        <f t="shared" si="1"/>
        <v>0</v>
      </c>
    </row>
    <row r="1817">
      <c r="A1817" s="1" t="s">
        <v>1171</v>
      </c>
      <c r="B1817" s="3">
        <v>5.0</v>
      </c>
      <c r="C1817" s="3">
        <v>60.0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2" t="str">
        <f>IFERROR(__xludf.DUMMYFUNCTION("INDEX(SPLIT(A1817, ""/""), 0, 2)"),"regex")</f>
        <v>regex</v>
      </c>
      <c r="J1817" s="2" t="b">
        <f t="shared" si="1"/>
        <v>0</v>
      </c>
    </row>
    <row r="1818">
      <c r="A1818" s="1" t="s">
        <v>1172</v>
      </c>
      <c r="B1818" s="3">
        <v>71.0</v>
      </c>
      <c r="C1818" s="3">
        <v>60.0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2" t="str">
        <f>IFERROR(__xludf.DUMMYFUNCTION("INDEX(SPLIT(A1818, ""/""), 0, 2)"),"regex")</f>
        <v>regex</v>
      </c>
      <c r="J1818" s="2" t="b">
        <f t="shared" si="1"/>
        <v>0</v>
      </c>
    </row>
    <row r="1819">
      <c r="A1819" s="1" t="s">
        <v>1173</v>
      </c>
      <c r="B1819" s="3">
        <v>14.0</v>
      </c>
      <c r="C1819" s="3">
        <v>60.0</v>
      </c>
      <c r="D1819" s="3">
        <v>0.0</v>
      </c>
      <c r="E1819" s="3">
        <v>0.0</v>
      </c>
      <c r="F1819" s="3">
        <v>0.0</v>
      </c>
      <c r="G1819" s="3">
        <v>0.0</v>
      </c>
      <c r="H1819" s="3">
        <v>0.0</v>
      </c>
      <c r="I1819" s="2" t="str">
        <f>IFERROR(__xludf.DUMMYFUNCTION("INDEX(SPLIT(A1819, ""/""), 0, 2)"),"regex")</f>
        <v>regex</v>
      </c>
      <c r="J1819" s="2" t="b">
        <f t="shared" si="1"/>
        <v>0</v>
      </c>
    </row>
    <row r="1820">
      <c r="A1820" s="1" t="s">
        <v>1174</v>
      </c>
      <c r="B1820" s="3">
        <v>15.0</v>
      </c>
      <c r="C1820" s="3">
        <v>60.0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2" t="str">
        <f>IFERROR(__xludf.DUMMYFUNCTION("INDEX(SPLIT(A1820, ""/""), 0, 2)"),"regex")</f>
        <v>regex</v>
      </c>
      <c r="J1820" s="2" t="b">
        <f t="shared" si="1"/>
        <v>0</v>
      </c>
    </row>
    <row r="1821">
      <c r="A1821" s="1" t="s">
        <v>1175</v>
      </c>
      <c r="B1821" s="3">
        <v>21.0</v>
      </c>
      <c r="C1821" s="3">
        <v>60.0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2" t="str">
        <f>IFERROR(__xludf.DUMMYFUNCTION("INDEX(SPLIT(A1821, ""/""), 0, 2)"),"regex")</f>
        <v>regex</v>
      </c>
      <c r="J1821" s="2" t="b">
        <f t="shared" si="1"/>
        <v>0</v>
      </c>
    </row>
    <row r="1822">
      <c r="A1822" s="1" t="s">
        <v>1176</v>
      </c>
      <c r="B1822" s="3">
        <v>27.0</v>
      </c>
      <c r="C1822" s="3">
        <v>60.0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2" t="str">
        <f>IFERROR(__xludf.DUMMYFUNCTION("INDEX(SPLIT(A1822, ""/""), 0, 2)"),"regex")</f>
        <v>regex</v>
      </c>
      <c r="J1822" s="2" t="b">
        <f t="shared" si="1"/>
        <v>0</v>
      </c>
    </row>
    <row r="1823">
      <c r="A1823" s="1" t="s">
        <v>1177</v>
      </c>
      <c r="B1823" s="3">
        <v>24.0</v>
      </c>
      <c r="C1823" s="3">
        <v>60.0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2" t="str">
        <f>IFERROR(__xludf.DUMMYFUNCTION("INDEX(SPLIT(A1823, ""/""), 0, 2)"),"regex")</f>
        <v>regex</v>
      </c>
      <c r="J1823" s="2" t="b">
        <f t="shared" si="1"/>
        <v>0</v>
      </c>
    </row>
    <row r="1824">
      <c r="A1824" s="1" t="s">
        <v>1178</v>
      </c>
      <c r="B1824" s="3">
        <v>21.0</v>
      </c>
      <c r="C1824" s="3">
        <v>60.0</v>
      </c>
      <c r="D1824" s="3">
        <v>0.0</v>
      </c>
      <c r="E1824" s="3">
        <v>0.0</v>
      </c>
      <c r="F1824" s="3">
        <v>0.0</v>
      </c>
      <c r="G1824" s="3">
        <v>0.0</v>
      </c>
      <c r="H1824" s="3">
        <v>0.0</v>
      </c>
      <c r="I1824" s="2" t="str">
        <f>IFERROR(__xludf.DUMMYFUNCTION("INDEX(SPLIT(A1824, ""/""), 0, 2)"),"regex")</f>
        <v>regex</v>
      </c>
      <c r="J1824" s="2" t="b">
        <f t="shared" si="1"/>
        <v>0</v>
      </c>
    </row>
    <row r="1825">
      <c r="A1825" s="1" t="s">
        <v>1179</v>
      </c>
      <c r="B1825" s="3">
        <v>34.0</v>
      </c>
      <c r="C1825" s="3">
        <v>60.0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2" t="str">
        <f>IFERROR(__xludf.DUMMYFUNCTION("INDEX(SPLIT(A1825, ""/""), 0, 2)"),"regex")</f>
        <v>regex</v>
      </c>
      <c r="J1825" s="2" t="b">
        <f t="shared" si="1"/>
        <v>0</v>
      </c>
    </row>
    <row r="1826">
      <c r="A1826" s="1" t="s">
        <v>1180</v>
      </c>
      <c r="B1826" s="3">
        <v>4.0</v>
      </c>
      <c r="C1826" s="3">
        <v>60.0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2" t="str">
        <f>IFERROR(__xludf.DUMMYFUNCTION("INDEX(SPLIT(A1826, ""/""), 0, 2)"),"regex")</f>
        <v>regex</v>
      </c>
      <c r="J1826" s="2" t="b">
        <f t="shared" si="1"/>
        <v>0</v>
      </c>
    </row>
    <row r="1827">
      <c r="A1827" s="1" t="s">
        <v>1181</v>
      </c>
      <c r="B1827" s="3">
        <v>24.0</v>
      </c>
      <c r="C1827" s="3">
        <v>60.0</v>
      </c>
      <c r="D1827" s="3">
        <v>0.0</v>
      </c>
      <c r="E1827" s="3">
        <v>0.0</v>
      </c>
      <c r="F1827" s="3">
        <v>0.0</v>
      </c>
      <c r="G1827" s="3">
        <v>0.0</v>
      </c>
      <c r="H1827" s="3">
        <v>0.0</v>
      </c>
      <c r="I1827" s="2" t="str">
        <f>IFERROR(__xludf.DUMMYFUNCTION("INDEX(SPLIT(A1827, ""/""), 0, 2)"),"regex")</f>
        <v>regex</v>
      </c>
      <c r="J1827" s="2" t="b">
        <f t="shared" si="1"/>
        <v>0</v>
      </c>
    </row>
    <row r="1828">
      <c r="A1828" s="1" t="s">
        <v>1182</v>
      </c>
      <c r="B1828" s="3">
        <v>33.0</v>
      </c>
      <c r="C1828" s="3">
        <v>60.0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2" t="str">
        <f>IFERROR(__xludf.DUMMYFUNCTION("INDEX(SPLIT(A1828, ""/""), 0, 2)"),"regex")</f>
        <v>regex</v>
      </c>
      <c r="J1828" s="2" t="b">
        <f t="shared" si="1"/>
        <v>0</v>
      </c>
    </row>
    <row r="1829">
      <c r="A1829" s="1" t="s">
        <v>1183</v>
      </c>
      <c r="B1829" s="3">
        <v>92.0</v>
      </c>
      <c r="C1829" s="3">
        <v>60.0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2" t="str">
        <f>IFERROR(__xludf.DUMMYFUNCTION("INDEX(SPLIT(A1829, ""/""), 0, 2)"),"regex")</f>
        <v>regex</v>
      </c>
      <c r="J1829" s="2" t="b">
        <f t="shared" si="1"/>
        <v>0</v>
      </c>
    </row>
    <row r="1830">
      <c r="A1830" s="1" t="s">
        <v>1184</v>
      </c>
      <c r="B1830" s="3">
        <v>109.0</v>
      </c>
      <c r="C1830" s="3">
        <v>60.0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2" t="str">
        <f>IFERROR(__xludf.DUMMYFUNCTION("INDEX(SPLIT(A1830, ""/""), 0, 2)"),"regex")</f>
        <v>regex</v>
      </c>
      <c r="J1830" s="2" t="b">
        <f t="shared" si="1"/>
        <v>0</v>
      </c>
    </row>
    <row r="1831">
      <c r="A1831" s="1" t="s">
        <v>1185</v>
      </c>
      <c r="B1831" s="3">
        <v>21.0</v>
      </c>
      <c r="C1831" s="3">
        <v>60.0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2" t="str">
        <f>IFERROR(__xludf.DUMMYFUNCTION("INDEX(SPLIT(A1831, ""/""), 0, 2)"),"regex")</f>
        <v>regex</v>
      </c>
      <c r="J1831" s="2" t="b">
        <f t="shared" si="1"/>
        <v>0</v>
      </c>
    </row>
    <row r="1832">
      <c r="A1832" s="1" t="s">
        <v>1186</v>
      </c>
      <c r="B1832" s="3">
        <v>22.0</v>
      </c>
      <c r="C1832" s="3">
        <v>60.0</v>
      </c>
      <c r="D1832" s="3">
        <v>0.0</v>
      </c>
      <c r="E1832" s="3">
        <v>0.0</v>
      </c>
      <c r="F1832" s="3">
        <v>0.0</v>
      </c>
      <c r="G1832" s="3">
        <v>0.0</v>
      </c>
      <c r="H1832" s="3">
        <v>0.0</v>
      </c>
      <c r="I1832" s="2" t="str">
        <f>IFERROR(__xludf.DUMMYFUNCTION("INDEX(SPLIT(A1832, ""/""), 0, 2)"),"regex")</f>
        <v>regex</v>
      </c>
      <c r="J1832" s="2" t="b">
        <f t="shared" si="1"/>
        <v>0</v>
      </c>
    </row>
    <row r="1833">
      <c r="A1833" s="1" t="s">
        <v>1187</v>
      </c>
      <c r="B1833" s="3">
        <v>35.0</v>
      </c>
      <c r="C1833" s="3">
        <v>60.0</v>
      </c>
      <c r="D1833" s="3">
        <v>0.0</v>
      </c>
      <c r="E1833" s="3">
        <v>0.0</v>
      </c>
      <c r="F1833" s="3">
        <v>0.0</v>
      </c>
      <c r="G1833" s="3">
        <v>0.0</v>
      </c>
      <c r="H1833" s="3">
        <v>0.0</v>
      </c>
      <c r="I1833" s="2" t="str">
        <f>IFERROR(__xludf.DUMMYFUNCTION("INDEX(SPLIT(A1833, ""/""), 0, 2)"),"regex")</f>
        <v>regex</v>
      </c>
      <c r="J1833" s="2" t="b">
        <f t="shared" si="1"/>
        <v>0</v>
      </c>
    </row>
    <row r="1834">
      <c r="A1834" s="1" t="s">
        <v>1188</v>
      </c>
      <c r="B1834" s="3">
        <v>339.0</v>
      </c>
      <c r="C1834" s="3">
        <v>60.0</v>
      </c>
      <c r="D1834" s="3">
        <v>3.0</v>
      </c>
      <c r="E1834" s="3">
        <v>0.0</v>
      </c>
      <c r="F1834" s="3">
        <v>0.0</v>
      </c>
      <c r="G1834" s="3">
        <v>1.0</v>
      </c>
      <c r="H1834" s="3">
        <v>0.0</v>
      </c>
      <c r="I1834" s="2" t="str">
        <f>IFERROR(__xludf.DUMMYFUNCTION("INDEX(SPLIT(A1834, ""/""), 0, 2)"),"regex")</f>
        <v>regex</v>
      </c>
      <c r="J1834" s="2" t="b">
        <f t="shared" si="1"/>
        <v>0</v>
      </c>
    </row>
    <row r="1835">
      <c r="A1835" s="1" t="s">
        <v>1189</v>
      </c>
      <c r="B1835" s="3">
        <v>16.0</v>
      </c>
      <c r="C1835" s="3">
        <v>60.0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2" t="str">
        <f>IFERROR(__xludf.DUMMYFUNCTION("INDEX(SPLIT(A1835, ""/""), 0, 2)"),"regex")</f>
        <v>regex</v>
      </c>
      <c r="J1835" s="2" t="b">
        <f t="shared" si="1"/>
        <v>0</v>
      </c>
    </row>
    <row r="1836">
      <c r="A1836" s="1" t="s">
        <v>1190</v>
      </c>
      <c r="B1836" s="3">
        <v>30.0</v>
      </c>
      <c r="C1836" s="3">
        <v>60.0</v>
      </c>
      <c r="D1836" s="3">
        <v>0.0</v>
      </c>
      <c r="E1836" s="3">
        <v>0.0</v>
      </c>
      <c r="F1836" s="3">
        <v>0.0</v>
      </c>
      <c r="G1836" s="3">
        <v>0.0</v>
      </c>
      <c r="H1836" s="3">
        <v>0.0</v>
      </c>
      <c r="I1836" s="2" t="str">
        <f>IFERROR(__xludf.DUMMYFUNCTION("INDEX(SPLIT(A1836, ""/""), 0, 2)"),"regex")</f>
        <v>regex</v>
      </c>
      <c r="J1836" s="2" t="b">
        <f t="shared" si="1"/>
        <v>0</v>
      </c>
    </row>
    <row r="1837">
      <c r="A1837" s="1" t="s">
        <v>1191</v>
      </c>
      <c r="B1837" s="3">
        <v>14.0</v>
      </c>
      <c r="C1837" s="3">
        <v>60.0</v>
      </c>
      <c r="D1837" s="3">
        <v>0.0</v>
      </c>
      <c r="E1837" s="3">
        <v>0.0</v>
      </c>
      <c r="F1837" s="3">
        <v>0.0</v>
      </c>
      <c r="G1837" s="3">
        <v>0.0</v>
      </c>
      <c r="H1837" s="3">
        <v>0.0</v>
      </c>
      <c r="I1837" s="2" t="str">
        <f>IFERROR(__xludf.DUMMYFUNCTION("INDEX(SPLIT(A1837, ""/""), 0, 2)"),"regex")</f>
        <v>regex</v>
      </c>
      <c r="J1837" s="2" t="b">
        <f t="shared" si="1"/>
        <v>0</v>
      </c>
    </row>
    <row r="1838">
      <c r="A1838" s="1" t="s">
        <v>1192</v>
      </c>
      <c r="B1838" s="3">
        <v>23.0</v>
      </c>
      <c r="C1838" s="3">
        <v>60.0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2" t="str">
        <f>IFERROR(__xludf.DUMMYFUNCTION("INDEX(SPLIT(A1838, ""/""), 0, 2)"),"regex")</f>
        <v>regex</v>
      </c>
      <c r="J1838" s="2" t="b">
        <f t="shared" si="1"/>
        <v>0</v>
      </c>
    </row>
    <row r="1839">
      <c r="A1839" s="1" t="s">
        <v>1193</v>
      </c>
      <c r="B1839" s="3">
        <v>83.0</v>
      </c>
      <c r="C1839" s="3">
        <v>60.0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2" t="str">
        <f>IFERROR(__xludf.DUMMYFUNCTION("INDEX(SPLIT(A1839, ""/""), 0, 2)"),"regex")</f>
        <v>regex</v>
      </c>
      <c r="J1839" s="2" t="b">
        <f t="shared" si="1"/>
        <v>0</v>
      </c>
    </row>
    <row r="1840">
      <c r="A1840" s="1" t="s">
        <v>1194</v>
      </c>
      <c r="B1840" s="3">
        <v>31.0</v>
      </c>
      <c r="C1840" s="3">
        <v>60.0</v>
      </c>
      <c r="D1840" s="3">
        <v>0.0</v>
      </c>
      <c r="E1840" s="3">
        <v>0.0</v>
      </c>
      <c r="F1840" s="3">
        <v>0.0</v>
      </c>
      <c r="G1840" s="3">
        <v>0.0</v>
      </c>
      <c r="H1840" s="3">
        <v>0.0</v>
      </c>
      <c r="I1840" s="2" t="str">
        <f>IFERROR(__xludf.DUMMYFUNCTION("INDEX(SPLIT(A1840, ""/""), 0, 2)"),"regex")</f>
        <v>regex</v>
      </c>
      <c r="J1840" s="2" t="b">
        <f t="shared" si="1"/>
        <v>0</v>
      </c>
    </row>
    <row r="1841">
      <c r="A1841" s="1" t="s">
        <v>1195</v>
      </c>
      <c r="B1841" s="3">
        <v>64.0</v>
      </c>
      <c r="C1841" s="3">
        <v>60.0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2" t="str">
        <f>IFERROR(__xludf.DUMMYFUNCTION("INDEX(SPLIT(A1841, ""/""), 0, 2)"),"regex")</f>
        <v>regex</v>
      </c>
      <c r="J1841" s="2" t="b">
        <f t="shared" si="1"/>
        <v>0</v>
      </c>
    </row>
    <row r="1842">
      <c r="A1842" s="1" t="s">
        <v>1196</v>
      </c>
      <c r="B1842" s="3">
        <v>20.0</v>
      </c>
      <c r="C1842" s="3">
        <v>60.0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2" t="str">
        <f>IFERROR(__xludf.DUMMYFUNCTION("INDEX(SPLIT(A1842, ""/""), 0, 2)"),"regex")</f>
        <v>regex</v>
      </c>
      <c r="J1842" s="2" t="b">
        <f t="shared" si="1"/>
        <v>0</v>
      </c>
    </row>
    <row r="1843">
      <c r="A1843" s="1" t="s">
        <v>1197</v>
      </c>
      <c r="B1843" s="3">
        <v>197.0</v>
      </c>
      <c r="C1843" s="3">
        <v>60.0</v>
      </c>
      <c r="D1843" s="3">
        <v>1.0</v>
      </c>
      <c r="E1843" s="3">
        <v>0.0</v>
      </c>
      <c r="F1843" s="3">
        <v>0.0</v>
      </c>
      <c r="G1843" s="3">
        <v>0.0</v>
      </c>
      <c r="H1843" s="3">
        <v>0.0</v>
      </c>
      <c r="I1843" s="2" t="str">
        <f>IFERROR(__xludf.DUMMYFUNCTION("INDEX(SPLIT(A1843, ""/""), 0, 2)"),"regex")</f>
        <v>regex</v>
      </c>
      <c r="J1843" s="2" t="b">
        <f t="shared" si="1"/>
        <v>0</v>
      </c>
    </row>
    <row r="1844">
      <c r="A1844" s="1" t="s">
        <v>1198</v>
      </c>
      <c r="B1844" s="3">
        <v>15.0</v>
      </c>
      <c r="C1844" s="3">
        <v>60.0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2" t="str">
        <f>IFERROR(__xludf.DUMMYFUNCTION("INDEX(SPLIT(A1844, ""/""), 0, 2)"),"regex")</f>
        <v>regex</v>
      </c>
      <c r="J1844" s="2" t="b">
        <f t="shared" si="1"/>
        <v>0</v>
      </c>
    </row>
    <row r="1845">
      <c r="A1845" s="1" t="s">
        <v>1199</v>
      </c>
      <c r="B1845" s="3">
        <v>20.0</v>
      </c>
      <c r="C1845" s="3">
        <v>60.0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2" t="str">
        <f>IFERROR(__xludf.DUMMYFUNCTION("INDEX(SPLIT(A1845, ""/""), 0, 2)"),"regex")</f>
        <v>regex</v>
      </c>
      <c r="J1845" s="2" t="b">
        <f t="shared" si="1"/>
        <v>0</v>
      </c>
    </row>
    <row r="1846">
      <c r="A1846" s="1" t="s">
        <v>1200</v>
      </c>
      <c r="B1846" s="3">
        <v>37.0</v>
      </c>
      <c r="C1846" s="3">
        <v>60.0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2" t="str">
        <f>IFERROR(__xludf.DUMMYFUNCTION("INDEX(SPLIT(A1846, ""/""), 0, 2)"),"regex")</f>
        <v>regex</v>
      </c>
      <c r="J1846" s="2" t="b">
        <f t="shared" si="1"/>
        <v>0</v>
      </c>
    </row>
    <row r="1847">
      <c r="A1847" s="1" t="s">
        <v>1201</v>
      </c>
      <c r="B1847" s="3">
        <v>21.0</v>
      </c>
      <c r="C1847" s="3">
        <v>60.0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2" t="str">
        <f>IFERROR(__xludf.DUMMYFUNCTION("INDEX(SPLIT(A1847, ""/""), 0, 2)"),"regex")</f>
        <v>regex</v>
      </c>
      <c r="J1847" s="2" t="b">
        <f t="shared" si="1"/>
        <v>0</v>
      </c>
    </row>
    <row r="1848">
      <c r="A1848" s="1" t="s">
        <v>1202</v>
      </c>
      <c r="B1848" s="3">
        <v>24.0</v>
      </c>
      <c r="C1848" s="3">
        <v>60.0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2" t="str">
        <f>IFERROR(__xludf.DUMMYFUNCTION("INDEX(SPLIT(A1848, ""/""), 0, 2)"),"regex")</f>
        <v>regex</v>
      </c>
      <c r="J1848" s="2" t="b">
        <f t="shared" si="1"/>
        <v>0</v>
      </c>
    </row>
    <row r="1849">
      <c r="A1849" s="1" t="s">
        <v>1203</v>
      </c>
      <c r="B1849" s="3">
        <v>30.0</v>
      </c>
      <c r="C1849" s="3">
        <v>60.0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2" t="str">
        <f>IFERROR(__xludf.DUMMYFUNCTION("INDEX(SPLIT(A1849, ""/""), 0, 2)"),"regex")</f>
        <v>regex</v>
      </c>
      <c r="J1849" s="2" t="b">
        <f t="shared" si="1"/>
        <v>0</v>
      </c>
    </row>
    <row r="1850">
      <c r="A1850" s="1" t="s">
        <v>1204</v>
      </c>
      <c r="B1850" s="3">
        <v>63.0</v>
      </c>
      <c r="C1850" s="3">
        <v>60.0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2" t="str">
        <f>IFERROR(__xludf.DUMMYFUNCTION("INDEX(SPLIT(A1850, ""/""), 0, 2)"),"regex")</f>
        <v>regex</v>
      </c>
      <c r="J1850" s="2" t="b">
        <f t="shared" si="1"/>
        <v>0</v>
      </c>
    </row>
    <row r="1851">
      <c r="A1851" s="1" t="s">
        <v>1205</v>
      </c>
      <c r="B1851" s="3">
        <v>73.0</v>
      </c>
      <c r="C1851" s="3">
        <v>60.0</v>
      </c>
      <c r="D1851" s="3">
        <v>0.0</v>
      </c>
      <c r="E1851" s="3">
        <v>0.0</v>
      </c>
      <c r="F1851" s="3">
        <v>0.0</v>
      </c>
      <c r="G1851" s="3">
        <v>0.0</v>
      </c>
      <c r="H1851" s="3">
        <v>0.0</v>
      </c>
      <c r="I1851" s="2" t="str">
        <f>IFERROR(__xludf.DUMMYFUNCTION("INDEX(SPLIT(A1851, ""/""), 0, 2)"),"regex")</f>
        <v>regex</v>
      </c>
      <c r="J1851" s="2" t="b">
        <f t="shared" si="1"/>
        <v>0</v>
      </c>
    </row>
    <row r="1852">
      <c r="A1852" s="1" t="s">
        <v>1206</v>
      </c>
      <c r="B1852" s="3">
        <v>14.0</v>
      </c>
      <c r="C1852" s="3">
        <v>60.0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2" t="str">
        <f>IFERROR(__xludf.DUMMYFUNCTION("INDEX(SPLIT(A1852, ""/""), 0, 2)"),"regex")</f>
        <v>regex</v>
      </c>
      <c r="J1852" s="2" t="b">
        <f t="shared" si="1"/>
        <v>0</v>
      </c>
    </row>
    <row r="1853">
      <c r="A1853" s="1" t="s">
        <v>1207</v>
      </c>
      <c r="B1853" s="3">
        <v>25.0</v>
      </c>
      <c r="C1853" s="3">
        <v>60.0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2" t="str">
        <f>IFERROR(__xludf.DUMMYFUNCTION("INDEX(SPLIT(A1853, ""/""), 0, 2)"),"regex")</f>
        <v>regex</v>
      </c>
      <c r="J1853" s="2" t="b">
        <f t="shared" si="1"/>
        <v>0</v>
      </c>
    </row>
    <row r="1854">
      <c r="A1854" s="1" t="s">
        <v>1208</v>
      </c>
      <c r="B1854" s="3">
        <v>92.0</v>
      </c>
      <c r="C1854" s="3">
        <v>60.0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2" t="str">
        <f>IFERROR(__xludf.DUMMYFUNCTION("INDEX(SPLIT(A1854, ""/""), 0, 2)"),"regex")</f>
        <v>regex</v>
      </c>
      <c r="J1854" s="2" t="b">
        <f t="shared" si="1"/>
        <v>0</v>
      </c>
    </row>
    <row r="1855">
      <c r="A1855" s="1" t="s">
        <v>1209</v>
      </c>
      <c r="B1855" s="3">
        <v>16.0</v>
      </c>
      <c r="C1855" s="3">
        <v>60.0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2" t="str">
        <f>IFERROR(__xludf.DUMMYFUNCTION("INDEX(SPLIT(A1855, ""/""), 0, 2)"),"regex")</f>
        <v>regex</v>
      </c>
      <c r="J1855" s="2" t="b">
        <f t="shared" si="1"/>
        <v>0</v>
      </c>
    </row>
    <row r="1856">
      <c r="A1856" s="1" t="s">
        <v>1210</v>
      </c>
      <c r="B1856" s="3">
        <v>29.0</v>
      </c>
      <c r="C1856" s="3">
        <v>60.0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2" t="str">
        <f>IFERROR(__xludf.DUMMYFUNCTION("INDEX(SPLIT(A1856, ""/""), 0, 2)"),"regex")</f>
        <v>regex</v>
      </c>
      <c r="J1856" s="2" t="b">
        <f t="shared" si="1"/>
        <v>0</v>
      </c>
    </row>
    <row r="1857">
      <c r="A1857" s="1" t="s">
        <v>1211</v>
      </c>
      <c r="B1857" s="3">
        <v>5.0</v>
      </c>
      <c r="C1857" s="3">
        <v>60.0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2" t="str">
        <f>IFERROR(__xludf.DUMMYFUNCTION("INDEX(SPLIT(A1857, ""/""), 0, 2)"),"regex")</f>
        <v>regex</v>
      </c>
      <c r="J1857" s="2" t="b">
        <f t="shared" si="1"/>
        <v>0</v>
      </c>
    </row>
    <row r="1858">
      <c r="A1858" s="1" t="s">
        <v>1212</v>
      </c>
      <c r="B1858" s="3">
        <v>49.0</v>
      </c>
      <c r="C1858" s="3">
        <v>60.0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2" t="str">
        <f>IFERROR(__xludf.DUMMYFUNCTION("INDEX(SPLIT(A1858, ""/""), 0, 2)"),"regex")</f>
        <v>regex</v>
      </c>
      <c r="J1858" s="2" t="b">
        <f t="shared" si="1"/>
        <v>0</v>
      </c>
    </row>
    <row r="1859">
      <c r="A1859" s="1" t="s">
        <v>1213</v>
      </c>
      <c r="B1859" s="3">
        <v>91.0</v>
      </c>
      <c r="C1859" s="3">
        <v>60.0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2" t="str">
        <f>IFERROR(__xludf.DUMMYFUNCTION("INDEX(SPLIT(A1859, ""/""), 0, 2)"),"regex")</f>
        <v>regex</v>
      </c>
      <c r="J1859" s="2" t="b">
        <f t="shared" si="1"/>
        <v>0</v>
      </c>
    </row>
    <row r="1860">
      <c r="A1860" s="1" t="s">
        <v>1214</v>
      </c>
      <c r="B1860" s="3">
        <v>15.0</v>
      </c>
      <c r="C1860" s="3">
        <v>60.0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2" t="str">
        <f>IFERROR(__xludf.DUMMYFUNCTION("INDEX(SPLIT(A1860, ""/""), 0, 2)"),"regex")</f>
        <v>regex</v>
      </c>
      <c r="J1860" s="2" t="b">
        <f t="shared" si="1"/>
        <v>0</v>
      </c>
    </row>
    <row r="1861">
      <c r="A1861" s="1" t="s">
        <v>1215</v>
      </c>
      <c r="B1861" s="3">
        <v>7.0</v>
      </c>
      <c r="C1861" s="3">
        <v>60.0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2" t="str">
        <f>IFERROR(__xludf.DUMMYFUNCTION("INDEX(SPLIT(A1861, ""/""), 0, 2)"),"regex")</f>
        <v>regex</v>
      </c>
      <c r="J1861" s="2" t="b">
        <f t="shared" si="1"/>
        <v>0</v>
      </c>
    </row>
    <row r="1862">
      <c r="A1862" s="1" t="s">
        <v>1216</v>
      </c>
      <c r="B1862" s="3">
        <v>30.0</v>
      </c>
      <c r="C1862" s="3">
        <v>60.0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2" t="str">
        <f>IFERROR(__xludf.DUMMYFUNCTION("INDEX(SPLIT(A1862, ""/""), 0, 2)"),"regex")</f>
        <v>regex</v>
      </c>
      <c r="J1862" s="2" t="b">
        <f t="shared" si="1"/>
        <v>0</v>
      </c>
    </row>
    <row r="1863">
      <c r="A1863" s="1" t="s">
        <v>1217</v>
      </c>
      <c r="B1863" s="3">
        <v>56.0</v>
      </c>
      <c r="C1863" s="3">
        <v>60.0</v>
      </c>
      <c r="D1863" s="3">
        <v>0.0</v>
      </c>
      <c r="E1863" s="3">
        <v>0.0</v>
      </c>
      <c r="F1863" s="3">
        <v>0.0</v>
      </c>
      <c r="G1863" s="3">
        <v>0.0</v>
      </c>
      <c r="H1863" s="3">
        <v>0.0</v>
      </c>
      <c r="I1863" s="2" t="str">
        <f>IFERROR(__xludf.DUMMYFUNCTION("INDEX(SPLIT(A1863, ""/""), 0, 2)"),"regex")</f>
        <v>regex</v>
      </c>
      <c r="J1863" s="2" t="b">
        <f t="shared" si="1"/>
        <v>0</v>
      </c>
    </row>
    <row r="1864">
      <c r="A1864" s="1" t="s">
        <v>1218</v>
      </c>
      <c r="B1864" s="3">
        <v>28.0</v>
      </c>
      <c r="C1864" s="3">
        <v>60.0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2" t="str">
        <f>IFERROR(__xludf.DUMMYFUNCTION("INDEX(SPLIT(A1864, ""/""), 0, 2)"),"regex")</f>
        <v>regex</v>
      </c>
      <c r="J1864" s="2" t="b">
        <f t="shared" si="1"/>
        <v>0</v>
      </c>
    </row>
    <row r="1865">
      <c r="A1865" s="1" t="s">
        <v>1219</v>
      </c>
      <c r="B1865" s="3">
        <v>90.0</v>
      </c>
      <c r="C1865" s="3">
        <v>60.0</v>
      </c>
      <c r="D1865" s="3">
        <v>0.0</v>
      </c>
      <c r="E1865" s="3">
        <v>0.0</v>
      </c>
      <c r="F1865" s="3">
        <v>0.0</v>
      </c>
      <c r="G1865" s="3">
        <v>0.0</v>
      </c>
      <c r="H1865" s="3">
        <v>0.0</v>
      </c>
      <c r="I1865" s="2" t="str">
        <f>IFERROR(__xludf.DUMMYFUNCTION("INDEX(SPLIT(A1865, ""/""), 0, 2)"),"regex")</f>
        <v>regex</v>
      </c>
      <c r="J1865" s="2" t="b">
        <f t="shared" si="1"/>
        <v>0</v>
      </c>
    </row>
    <row r="1866">
      <c r="A1866" s="1" t="s">
        <v>1220</v>
      </c>
      <c r="B1866" s="3">
        <v>66.0</v>
      </c>
      <c r="C1866" s="3">
        <v>60.0</v>
      </c>
      <c r="D1866" s="3">
        <v>0.0</v>
      </c>
      <c r="E1866" s="3">
        <v>0.0</v>
      </c>
      <c r="F1866" s="3">
        <v>0.0</v>
      </c>
      <c r="G1866" s="3">
        <v>0.0</v>
      </c>
      <c r="H1866" s="3">
        <v>0.0</v>
      </c>
      <c r="I1866" s="2" t="str">
        <f>IFERROR(__xludf.DUMMYFUNCTION("INDEX(SPLIT(A1866, ""/""), 0, 2)"),"regex")</f>
        <v>regex</v>
      </c>
      <c r="J1866" s="2" t="b">
        <f t="shared" si="1"/>
        <v>0</v>
      </c>
    </row>
    <row r="1867">
      <c r="A1867" s="1" t="s">
        <v>1221</v>
      </c>
      <c r="B1867" s="3">
        <v>5.0</v>
      </c>
      <c r="C1867" s="3">
        <v>60.0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2" t="str">
        <f>IFERROR(__xludf.DUMMYFUNCTION("INDEX(SPLIT(A1867, ""/""), 0, 2)"),"regex")</f>
        <v>regex</v>
      </c>
      <c r="J1867" s="2" t="b">
        <f t="shared" si="1"/>
        <v>0</v>
      </c>
    </row>
    <row r="1868">
      <c r="A1868" s="1" t="s">
        <v>1222</v>
      </c>
      <c r="B1868" s="3">
        <v>14.0</v>
      </c>
      <c r="C1868" s="3">
        <v>60.0</v>
      </c>
      <c r="D1868" s="3">
        <v>0.0</v>
      </c>
      <c r="E1868" s="3">
        <v>0.0</v>
      </c>
      <c r="F1868" s="3">
        <v>0.0</v>
      </c>
      <c r="G1868" s="3">
        <v>0.0</v>
      </c>
      <c r="H1868" s="3">
        <v>0.0</v>
      </c>
      <c r="I1868" s="2" t="str">
        <f>IFERROR(__xludf.DUMMYFUNCTION("INDEX(SPLIT(A1868, ""/""), 0, 2)"),"regex")</f>
        <v>regex</v>
      </c>
      <c r="J1868" s="2" t="b">
        <f t="shared" si="1"/>
        <v>0</v>
      </c>
    </row>
    <row r="1869">
      <c r="A1869" s="1" t="s">
        <v>1223</v>
      </c>
      <c r="B1869" s="3">
        <v>16.0</v>
      </c>
      <c r="C1869" s="3">
        <v>60.0</v>
      </c>
      <c r="D1869" s="3">
        <v>0.0</v>
      </c>
      <c r="E1869" s="3">
        <v>0.0</v>
      </c>
      <c r="F1869" s="3">
        <v>0.0</v>
      </c>
      <c r="G1869" s="3">
        <v>0.0</v>
      </c>
      <c r="H1869" s="3">
        <v>0.0</v>
      </c>
      <c r="I1869" s="2" t="str">
        <f>IFERROR(__xludf.DUMMYFUNCTION("INDEX(SPLIT(A1869, ""/""), 0, 2)"),"regex")</f>
        <v>regex</v>
      </c>
      <c r="J1869" s="2" t="b">
        <f t="shared" si="1"/>
        <v>0</v>
      </c>
    </row>
    <row r="1870">
      <c r="A1870" s="1" t="s">
        <v>1224</v>
      </c>
      <c r="B1870" s="3">
        <v>63.0</v>
      </c>
      <c r="C1870" s="3">
        <v>60.0</v>
      </c>
      <c r="D1870" s="3">
        <v>0.0</v>
      </c>
      <c r="E1870" s="3">
        <v>0.0</v>
      </c>
      <c r="F1870" s="3">
        <v>0.0</v>
      </c>
      <c r="G1870" s="3">
        <v>0.0</v>
      </c>
      <c r="H1870" s="3">
        <v>0.0</v>
      </c>
      <c r="I1870" s="2" t="str">
        <f>IFERROR(__xludf.DUMMYFUNCTION("INDEX(SPLIT(A1870, ""/""), 0, 2)"),"regex")</f>
        <v>regex</v>
      </c>
      <c r="J1870" s="2" t="b">
        <f t="shared" si="1"/>
        <v>0</v>
      </c>
    </row>
    <row r="1871">
      <c r="A1871" s="1" t="s">
        <v>1225</v>
      </c>
      <c r="B1871" s="3">
        <v>60.0</v>
      </c>
      <c r="C1871" s="3">
        <v>60.0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2" t="str">
        <f>IFERROR(__xludf.DUMMYFUNCTION("INDEX(SPLIT(A1871, ""/""), 0, 2)"),"regex")</f>
        <v>regex</v>
      </c>
      <c r="J1871" s="2" t="b">
        <f t="shared" si="1"/>
        <v>0</v>
      </c>
    </row>
    <row r="1872">
      <c r="A1872" s="1" t="s">
        <v>1226</v>
      </c>
      <c r="B1872" s="3">
        <v>11.0</v>
      </c>
      <c r="C1872" s="3">
        <v>60.0</v>
      </c>
      <c r="D1872" s="3">
        <v>0.0</v>
      </c>
      <c r="E1872" s="3">
        <v>0.0</v>
      </c>
      <c r="F1872" s="3">
        <v>0.0</v>
      </c>
      <c r="G1872" s="3">
        <v>0.0</v>
      </c>
      <c r="H1872" s="3">
        <v>0.0</v>
      </c>
      <c r="I1872" s="2" t="str">
        <f>IFERROR(__xludf.DUMMYFUNCTION("INDEX(SPLIT(A1872, ""/""), 0, 2)"),"regex")</f>
        <v>regex</v>
      </c>
      <c r="J1872" s="2" t="b">
        <f t="shared" si="1"/>
        <v>0</v>
      </c>
    </row>
    <row r="1873">
      <c r="A1873" s="1" t="s">
        <v>1227</v>
      </c>
      <c r="B1873" s="3">
        <v>7.0</v>
      </c>
      <c r="C1873" s="3">
        <v>60.0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2" t="str">
        <f>IFERROR(__xludf.DUMMYFUNCTION("INDEX(SPLIT(A1873, ""/""), 0, 2)"),"regex")</f>
        <v>regex</v>
      </c>
      <c r="J1873" s="2" t="b">
        <f t="shared" si="1"/>
        <v>0</v>
      </c>
    </row>
    <row r="1874">
      <c r="A1874" s="1" t="s">
        <v>1228</v>
      </c>
      <c r="B1874" s="3">
        <v>33.0</v>
      </c>
      <c r="C1874" s="3">
        <v>60.0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2" t="str">
        <f>IFERROR(__xludf.DUMMYFUNCTION("INDEX(SPLIT(A1874, ""/""), 0, 2)"),"regex")</f>
        <v>regex</v>
      </c>
      <c r="J1874" s="2" t="b">
        <f t="shared" si="1"/>
        <v>0</v>
      </c>
    </row>
    <row r="1875">
      <c r="A1875" s="1" t="s">
        <v>1229</v>
      </c>
      <c r="B1875" s="3">
        <v>91.0</v>
      </c>
      <c r="C1875" s="3">
        <v>60.0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2" t="str">
        <f>IFERROR(__xludf.DUMMYFUNCTION("INDEX(SPLIT(A1875, ""/""), 0, 2)"),"regex")</f>
        <v>regex</v>
      </c>
      <c r="J1875" s="2" t="b">
        <f t="shared" si="1"/>
        <v>0</v>
      </c>
    </row>
    <row r="1876">
      <c r="A1876" s="1" t="s">
        <v>1230</v>
      </c>
      <c r="B1876" s="3">
        <v>4.0</v>
      </c>
      <c r="C1876" s="3">
        <v>60.0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2" t="str">
        <f>IFERROR(__xludf.DUMMYFUNCTION("INDEX(SPLIT(A1876, ""/""), 0, 2)"),"regex")</f>
        <v>regex</v>
      </c>
      <c r="J1876" s="2" t="b">
        <f t="shared" si="1"/>
        <v>0</v>
      </c>
    </row>
    <row r="1877">
      <c r="A1877" s="1" t="s">
        <v>1231</v>
      </c>
      <c r="B1877" s="3">
        <v>21.0</v>
      </c>
      <c r="C1877" s="3">
        <v>60.0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2" t="str">
        <f>IFERROR(__xludf.DUMMYFUNCTION("INDEX(SPLIT(A1877, ""/""), 0, 2)"),"regex")</f>
        <v>regex</v>
      </c>
      <c r="J1877" s="2" t="b">
        <f t="shared" si="1"/>
        <v>0</v>
      </c>
    </row>
    <row r="1878">
      <c r="A1878" s="1" t="s">
        <v>1232</v>
      </c>
      <c r="B1878" s="3">
        <v>11.0</v>
      </c>
      <c r="C1878" s="3">
        <v>60.0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2" t="str">
        <f>IFERROR(__xludf.DUMMYFUNCTION("INDEX(SPLIT(A1878, ""/""), 0, 2)"),"regex")</f>
        <v>regex</v>
      </c>
      <c r="J1878" s="2" t="b">
        <f t="shared" si="1"/>
        <v>0</v>
      </c>
    </row>
    <row r="1879">
      <c r="A1879" s="1" t="s">
        <v>1233</v>
      </c>
      <c r="B1879" s="3">
        <v>22.0</v>
      </c>
      <c r="C1879" s="3">
        <v>60.0</v>
      </c>
      <c r="D1879" s="3">
        <v>0.0</v>
      </c>
      <c r="E1879" s="3">
        <v>0.0</v>
      </c>
      <c r="F1879" s="3">
        <v>0.0</v>
      </c>
      <c r="G1879" s="3">
        <v>0.0</v>
      </c>
      <c r="H1879" s="3">
        <v>0.0</v>
      </c>
      <c r="I1879" s="2" t="str">
        <f>IFERROR(__xludf.DUMMYFUNCTION("INDEX(SPLIT(A1879, ""/""), 0, 2)"),"regex")</f>
        <v>regex</v>
      </c>
      <c r="J1879" s="2" t="b">
        <f t="shared" si="1"/>
        <v>0</v>
      </c>
    </row>
    <row r="1880">
      <c r="A1880" s="1" t="s">
        <v>1234</v>
      </c>
      <c r="B1880" s="3">
        <v>38.0</v>
      </c>
      <c r="C1880" s="3">
        <v>60.0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2" t="str">
        <f>IFERROR(__xludf.DUMMYFUNCTION("INDEX(SPLIT(A1880, ""/""), 0, 2)"),"regex")</f>
        <v>regex</v>
      </c>
      <c r="J1880" s="2" t="b">
        <f t="shared" si="1"/>
        <v>0</v>
      </c>
    </row>
    <row r="1881">
      <c r="A1881" s="1" t="s">
        <v>1235</v>
      </c>
      <c r="B1881" s="3">
        <v>33.0</v>
      </c>
      <c r="C1881" s="3">
        <v>60.0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2" t="str">
        <f>IFERROR(__xludf.DUMMYFUNCTION("INDEX(SPLIT(A1881, ""/""), 0, 2)"),"regex")</f>
        <v>regex</v>
      </c>
      <c r="J1881" s="2" t="b">
        <f t="shared" si="1"/>
        <v>0</v>
      </c>
    </row>
    <row r="1882">
      <c r="A1882" s="1" t="s">
        <v>1236</v>
      </c>
      <c r="B1882" s="3">
        <v>46.0</v>
      </c>
      <c r="C1882" s="3">
        <v>60.0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2" t="str">
        <f>IFERROR(__xludf.DUMMYFUNCTION("INDEX(SPLIT(A1882, ""/""), 0, 2)"),"regex")</f>
        <v>regex</v>
      </c>
      <c r="J1882" s="2" t="b">
        <f t="shared" si="1"/>
        <v>0</v>
      </c>
    </row>
    <row r="1883">
      <c r="A1883" s="1" t="s">
        <v>1237</v>
      </c>
      <c r="B1883" s="3">
        <v>37.0</v>
      </c>
      <c r="C1883" s="3">
        <v>60.0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2" t="str">
        <f>IFERROR(__xludf.DUMMYFUNCTION("INDEX(SPLIT(A1883, ""/""), 0, 2)"),"regex")</f>
        <v>regex</v>
      </c>
      <c r="J1883" s="2" t="b">
        <f t="shared" si="1"/>
        <v>0</v>
      </c>
    </row>
    <row r="1884">
      <c r="A1884" s="1" t="s">
        <v>1238</v>
      </c>
      <c r="B1884" s="3">
        <v>70.0</v>
      </c>
      <c r="C1884" s="3">
        <v>60.0</v>
      </c>
      <c r="D1884" s="3">
        <v>0.0</v>
      </c>
      <c r="E1884" s="3">
        <v>0.0</v>
      </c>
      <c r="F1884" s="3">
        <v>0.0</v>
      </c>
      <c r="G1884" s="3">
        <v>0.0</v>
      </c>
      <c r="H1884" s="3">
        <v>0.0</v>
      </c>
      <c r="I1884" s="2" t="str">
        <f>IFERROR(__xludf.DUMMYFUNCTION("INDEX(SPLIT(A1884, ""/""), 0, 2)"),"regex")</f>
        <v>regex</v>
      </c>
      <c r="J1884" s="2" t="b">
        <f t="shared" si="1"/>
        <v>0</v>
      </c>
    </row>
    <row r="1885">
      <c r="A1885" s="1" t="s">
        <v>1239</v>
      </c>
      <c r="B1885" s="3">
        <v>30.0</v>
      </c>
      <c r="C1885" s="3">
        <v>60.0</v>
      </c>
      <c r="D1885" s="3">
        <v>0.0</v>
      </c>
      <c r="E1885" s="3">
        <v>0.0</v>
      </c>
      <c r="F1885" s="3">
        <v>0.0</v>
      </c>
      <c r="G1885" s="3">
        <v>0.0</v>
      </c>
      <c r="H1885" s="3">
        <v>0.0</v>
      </c>
      <c r="I1885" s="2" t="str">
        <f>IFERROR(__xludf.DUMMYFUNCTION("INDEX(SPLIT(A1885, ""/""), 0, 2)"),"regex")</f>
        <v>regex</v>
      </c>
      <c r="J1885" s="2" t="b">
        <f t="shared" si="1"/>
        <v>0</v>
      </c>
    </row>
    <row r="1886">
      <c r="A1886" s="1" t="s">
        <v>1240</v>
      </c>
      <c r="B1886" s="3">
        <v>14.0</v>
      </c>
      <c r="C1886" s="3">
        <v>60.0</v>
      </c>
      <c r="D1886" s="3">
        <v>0.0</v>
      </c>
      <c r="E1886" s="3">
        <v>0.0</v>
      </c>
      <c r="F1886" s="3">
        <v>0.0</v>
      </c>
      <c r="G1886" s="3">
        <v>0.0</v>
      </c>
      <c r="H1886" s="3">
        <v>0.0</v>
      </c>
      <c r="I1886" s="2" t="str">
        <f>IFERROR(__xludf.DUMMYFUNCTION("INDEX(SPLIT(A1886, ""/""), 0, 2)"),"regex")</f>
        <v>regex</v>
      </c>
      <c r="J1886" s="2" t="b">
        <f t="shared" si="1"/>
        <v>0</v>
      </c>
    </row>
    <row r="1887">
      <c r="A1887" s="1" t="s">
        <v>1241</v>
      </c>
      <c r="B1887" s="3">
        <v>35.0</v>
      </c>
      <c r="C1887" s="3">
        <v>60.0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2" t="str">
        <f>IFERROR(__xludf.DUMMYFUNCTION("INDEX(SPLIT(A1887, ""/""), 0, 2)"),"regex")</f>
        <v>regex</v>
      </c>
      <c r="J1887" s="2" t="b">
        <f t="shared" si="1"/>
        <v>0</v>
      </c>
    </row>
    <row r="1888">
      <c r="A1888" s="1" t="s">
        <v>1242</v>
      </c>
      <c r="B1888" s="3">
        <v>77.0</v>
      </c>
      <c r="C1888" s="3">
        <v>60.0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2" t="str">
        <f>IFERROR(__xludf.DUMMYFUNCTION("INDEX(SPLIT(A1888, ""/""), 0, 2)"),"regex")</f>
        <v>regex</v>
      </c>
      <c r="J1888" s="2" t="b">
        <f t="shared" si="1"/>
        <v>0</v>
      </c>
    </row>
    <row r="1889">
      <c r="A1889" s="1" t="s">
        <v>1243</v>
      </c>
      <c r="B1889" s="3">
        <v>13.0</v>
      </c>
      <c r="C1889" s="3">
        <v>60.0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2" t="str">
        <f>IFERROR(__xludf.DUMMYFUNCTION("INDEX(SPLIT(A1889, ""/""), 0, 2)"),"regex")</f>
        <v>regex</v>
      </c>
      <c r="J1889" s="2" t="b">
        <f t="shared" si="1"/>
        <v>0</v>
      </c>
    </row>
    <row r="1890">
      <c r="A1890" s="1" t="s">
        <v>1244</v>
      </c>
      <c r="B1890" s="3">
        <v>63.0</v>
      </c>
      <c r="C1890" s="3">
        <v>60.0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2" t="str">
        <f>IFERROR(__xludf.DUMMYFUNCTION("INDEX(SPLIT(A1890, ""/""), 0, 2)"),"regex")</f>
        <v>regex</v>
      </c>
      <c r="J1890" s="2" t="b">
        <f t="shared" si="1"/>
        <v>0</v>
      </c>
    </row>
    <row r="1891">
      <c r="A1891" s="1" t="s">
        <v>1245</v>
      </c>
      <c r="B1891" s="3">
        <v>23.0</v>
      </c>
      <c r="C1891" s="3">
        <v>60.0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2" t="str">
        <f>IFERROR(__xludf.DUMMYFUNCTION("INDEX(SPLIT(A1891, ""/""), 0, 2)"),"regex")</f>
        <v>regex</v>
      </c>
      <c r="J1891" s="2" t="b">
        <f t="shared" si="1"/>
        <v>0</v>
      </c>
    </row>
    <row r="1892">
      <c r="A1892" s="1" t="s">
        <v>1246</v>
      </c>
      <c r="B1892" s="3">
        <v>77.0</v>
      </c>
      <c r="C1892" s="3">
        <v>60.0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2" t="str">
        <f>IFERROR(__xludf.DUMMYFUNCTION("INDEX(SPLIT(A1892, ""/""), 0, 2)"),"regex")</f>
        <v>regex</v>
      </c>
      <c r="J1892" s="2" t="b">
        <f t="shared" si="1"/>
        <v>0</v>
      </c>
    </row>
    <row r="1893">
      <c r="A1893" s="1" t="s">
        <v>1247</v>
      </c>
      <c r="B1893" s="3">
        <v>6.0</v>
      </c>
      <c r="C1893" s="3">
        <v>60.0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2" t="str">
        <f>IFERROR(__xludf.DUMMYFUNCTION("INDEX(SPLIT(A1893, ""/""), 0, 2)"),"regex")</f>
        <v>regex</v>
      </c>
      <c r="J1893" s="2" t="b">
        <f t="shared" si="1"/>
        <v>0</v>
      </c>
    </row>
    <row r="1894">
      <c r="A1894" s="1" t="s">
        <v>1248</v>
      </c>
      <c r="B1894" s="3">
        <v>12.0</v>
      </c>
      <c r="C1894" s="3">
        <v>60.0</v>
      </c>
      <c r="D1894" s="3">
        <v>0.0</v>
      </c>
      <c r="E1894" s="3">
        <v>0.0</v>
      </c>
      <c r="F1894" s="3">
        <v>0.0</v>
      </c>
      <c r="G1894" s="3">
        <v>0.0</v>
      </c>
      <c r="H1894" s="3">
        <v>0.0</v>
      </c>
      <c r="I1894" s="2" t="str">
        <f>IFERROR(__xludf.DUMMYFUNCTION("INDEX(SPLIT(A1894, ""/""), 0, 2)"),"regex")</f>
        <v>regex</v>
      </c>
      <c r="J1894" s="2" t="b">
        <f t="shared" si="1"/>
        <v>0</v>
      </c>
    </row>
    <row r="1895">
      <c r="A1895" s="1" t="s">
        <v>1249</v>
      </c>
      <c r="B1895" s="3">
        <v>51.0</v>
      </c>
      <c r="C1895" s="3">
        <v>60.0</v>
      </c>
      <c r="D1895" s="3">
        <v>0.0</v>
      </c>
      <c r="E1895" s="3">
        <v>0.0</v>
      </c>
      <c r="F1895" s="3">
        <v>0.0</v>
      </c>
      <c r="G1895" s="3">
        <v>0.0</v>
      </c>
      <c r="H1895" s="3">
        <v>0.0</v>
      </c>
      <c r="I1895" s="2" t="str">
        <f>IFERROR(__xludf.DUMMYFUNCTION("INDEX(SPLIT(A1895, ""/""), 0, 2)"),"regex")</f>
        <v>regex</v>
      </c>
      <c r="J1895" s="2" t="b">
        <f t="shared" si="1"/>
        <v>0</v>
      </c>
    </row>
    <row r="1896">
      <c r="A1896" s="1" t="s">
        <v>1250</v>
      </c>
      <c r="B1896" s="3">
        <v>13.0</v>
      </c>
      <c r="C1896" s="3">
        <v>60.0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2" t="str">
        <f>IFERROR(__xludf.DUMMYFUNCTION("INDEX(SPLIT(A1896, ""/""), 0, 2)"),"regex")</f>
        <v>regex</v>
      </c>
      <c r="J1896" s="2" t="b">
        <f t="shared" si="1"/>
        <v>0</v>
      </c>
    </row>
    <row r="1897">
      <c r="A1897" s="1" t="s">
        <v>1251</v>
      </c>
      <c r="B1897" s="3">
        <v>15.0</v>
      </c>
      <c r="C1897" s="3">
        <v>60.0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2" t="str">
        <f>IFERROR(__xludf.DUMMYFUNCTION("INDEX(SPLIT(A1897, ""/""), 0, 2)"),"regex")</f>
        <v>regex</v>
      </c>
      <c r="J1897" s="2" t="b">
        <f t="shared" si="1"/>
        <v>0</v>
      </c>
    </row>
    <row r="1898">
      <c r="A1898" s="1" t="s">
        <v>1252</v>
      </c>
      <c r="B1898" s="3">
        <v>7.0</v>
      </c>
      <c r="C1898" s="3">
        <v>60.0</v>
      </c>
      <c r="D1898" s="3">
        <v>0.0</v>
      </c>
      <c r="E1898" s="3">
        <v>0.0</v>
      </c>
      <c r="F1898" s="3">
        <v>0.0</v>
      </c>
      <c r="G1898" s="3">
        <v>0.0</v>
      </c>
      <c r="H1898" s="3">
        <v>0.0</v>
      </c>
      <c r="I1898" s="2" t="str">
        <f>IFERROR(__xludf.DUMMYFUNCTION("INDEX(SPLIT(A1898, ""/""), 0, 2)"),"regex")</f>
        <v>regex</v>
      </c>
      <c r="J1898" s="2" t="b">
        <f t="shared" si="1"/>
        <v>0</v>
      </c>
    </row>
    <row r="1899">
      <c r="A1899" s="1" t="s">
        <v>1253</v>
      </c>
      <c r="B1899" s="3">
        <v>23.0</v>
      </c>
      <c r="C1899" s="3">
        <v>60.0</v>
      </c>
      <c r="D1899" s="3">
        <v>0.0</v>
      </c>
      <c r="E1899" s="3">
        <v>0.0</v>
      </c>
      <c r="F1899" s="3">
        <v>0.0</v>
      </c>
      <c r="G1899" s="3">
        <v>0.0</v>
      </c>
      <c r="H1899" s="3">
        <v>0.0</v>
      </c>
      <c r="I1899" s="2" t="str">
        <f>IFERROR(__xludf.DUMMYFUNCTION("INDEX(SPLIT(A1899, ""/""), 0, 2)"),"regex")</f>
        <v>regex</v>
      </c>
      <c r="J1899" s="2" t="b">
        <f t="shared" si="1"/>
        <v>0</v>
      </c>
    </row>
    <row r="1900">
      <c r="A1900" s="1" t="s">
        <v>1254</v>
      </c>
      <c r="B1900" s="3">
        <v>138.0</v>
      </c>
      <c r="C1900" s="3">
        <v>60.0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2" t="str">
        <f>IFERROR(__xludf.DUMMYFUNCTION("INDEX(SPLIT(A1900, ""/""), 0, 2)"),"regex")</f>
        <v>regex</v>
      </c>
      <c r="J1900" s="2" t="b">
        <f t="shared" si="1"/>
        <v>0</v>
      </c>
    </row>
    <row r="1901">
      <c r="A1901" s="1" t="s">
        <v>1255</v>
      </c>
      <c r="B1901" s="3">
        <v>47.0</v>
      </c>
      <c r="C1901" s="3">
        <v>60.0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2" t="str">
        <f>IFERROR(__xludf.DUMMYFUNCTION("INDEX(SPLIT(A1901, ""/""), 0, 2)"),"regex")</f>
        <v>regex</v>
      </c>
      <c r="J1901" s="2" t="b">
        <f t="shared" si="1"/>
        <v>0</v>
      </c>
    </row>
    <row r="1902">
      <c r="A1902" s="1" t="s">
        <v>1256</v>
      </c>
      <c r="B1902" s="3">
        <v>138.0</v>
      </c>
      <c r="C1902" s="3">
        <v>60.0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2" t="str">
        <f>IFERROR(__xludf.DUMMYFUNCTION("INDEX(SPLIT(A1902, ""/""), 0, 2)"),"regex")</f>
        <v>regex</v>
      </c>
      <c r="J1902" s="2" t="b">
        <f t="shared" si="1"/>
        <v>0</v>
      </c>
    </row>
    <row r="1903">
      <c r="A1903" s="1" t="s">
        <v>1257</v>
      </c>
      <c r="B1903" s="3">
        <v>24.0</v>
      </c>
      <c r="C1903" s="3">
        <v>60.0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2" t="str">
        <f>IFERROR(__xludf.DUMMYFUNCTION("INDEX(SPLIT(A1903, ""/""), 0, 2)"),"regex")</f>
        <v>regex</v>
      </c>
      <c r="J1903" s="2" t="b">
        <f t="shared" si="1"/>
        <v>0</v>
      </c>
    </row>
    <row r="1904">
      <c r="A1904" s="1" t="s">
        <v>1258</v>
      </c>
      <c r="B1904" s="3">
        <v>27.0</v>
      </c>
      <c r="C1904" s="3">
        <v>60.0</v>
      </c>
      <c r="D1904" s="3">
        <v>0.0</v>
      </c>
      <c r="E1904" s="3">
        <v>0.0</v>
      </c>
      <c r="F1904" s="3">
        <v>0.0</v>
      </c>
      <c r="G1904" s="3">
        <v>0.0</v>
      </c>
      <c r="H1904" s="3">
        <v>0.0</v>
      </c>
      <c r="I1904" s="2" t="str">
        <f>IFERROR(__xludf.DUMMYFUNCTION("INDEX(SPLIT(A1904, ""/""), 0, 2)"),"regex")</f>
        <v>regex</v>
      </c>
      <c r="J1904" s="2" t="b">
        <f t="shared" si="1"/>
        <v>0</v>
      </c>
    </row>
    <row r="1905">
      <c r="A1905" s="1" t="s">
        <v>1259</v>
      </c>
      <c r="B1905" s="3">
        <v>18.0</v>
      </c>
      <c r="C1905" s="3">
        <v>60.0</v>
      </c>
      <c r="D1905" s="3">
        <v>0.0</v>
      </c>
      <c r="E1905" s="3">
        <v>0.0</v>
      </c>
      <c r="F1905" s="3">
        <v>0.0</v>
      </c>
      <c r="G1905" s="3">
        <v>0.0</v>
      </c>
      <c r="H1905" s="3">
        <v>0.0</v>
      </c>
      <c r="I1905" s="2" t="str">
        <f>IFERROR(__xludf.DUMMYFUNCTION("INDEX(SPLIT(A1905, ""/""), 0, 2)"),"regex")</f>
        <v>regex</v>
      </c>
      <c r="J1905" s="2" t="b">
        <f t="shared" si="1"/>
        <v>0</v>
      </c>
    </row>
    <row r="1906">
      <c r="A1906" s="1" t="s">
        <v>1260</v>
      </c>
      <c r="B1906" s="3">
        <v>42.0</v>
      </c>
      <c r="C1906" s="3">
        <v>60.0</v>
      </c>
      <c r="D1906" s="3">
        <v>0.0</v>
      </c>
      <c r="E1906" s="3">
        <v>0.0</v>
      </c>
      <c r="F1906" s="3">
        <v>0.0</v>
      </c>
      <c r="G1906" s="3">
        <v>0.0</v>
      </c>
      <c r="H1906" s="3">
        <v>0.0</v>
      </c>
      <c r="I1906" s="2" t="str">
        <f>IFERROR(__xludf.DUMMYFUNCTION("INDEX(SPLIT(A1906, ""/""), 0, 2)"),"regex")</f>
        <v>regex</v>
      </c>
      <c r="J1906" s="2" t="b">
        <f t="shared" si="1"/>
        <v>0</v>
      </c>
    </row>
    <row r="1907">
      <c r="A1907" s="1" t="s">
        <v>1261</v>
      </c>
      <c r="B1907" s="3">
        <v>619.0</v>
      </c>
      <c r="C1907" s="3">
        <v>60.0</v>
      </c>
      <c r="D1907" s="3">
        <v>6.0</v>
      </c>
      <c r="E1907" s="3">
        <v>0.0</v>
      </c>
      <c r="F1907" s="3">
        <v>0.0</v>
      </c>
      <c r="G1907" s="3">
        <v>1.0</v>
      </c>
      <c r="H1907" s="3">
        <v>0.0</v>
      </c>
      <c r="I1907" s="2" t="str">
        <f>IFERROR(__xludf.DUMMYFUNCTION("INDEX(SPLIT(A1907, ""/""), 0, 2)"),"regex")</f>
        <v>regex</v>
      </c>
      <c r="J1907" s="2" t="b">
        <f t="shared" si="1"/>
        <v>0</v>
      </c>
    </row>
    <row r="1908">
      <c r="A1908" s="1" t="s">
        <v>1262</v>
      </c>
      <c r="B1908" s="3">
        <v>19.0</v>
      </c>
      <c r="C1908" s="3">
        <v>60.0</v>
      </c>
      <c r="D1908" s="3">
        <v>0.0</v>
      </c>
      <c r="E1908" s="3">
        <v>0.0</v>
      </c>
      <c r="F1908" s="3">
        <v>0.0</v>
      </c>
      <c r="G1908" s="3">
        <v>0.0</v>
      </c>
      <c r="H1908" s="3">
        <v>0.0</v>
      </c>
      <c r="I1908" s="2" t="str">
        <f>IFERROR(__xludf.DUMMYFUNCTION("INDEX(SPLIT(A1908, ""/""), 0, 2)"),"regex")</f>
        <v>regex</v>
      </c>
      <c r="J1908" s="2" t="b">
        <f t="shared" si="1"/>
        <v>0</v>
      </c>
    </row>
    <row r="1909">
      <c r="A1909" s="1" t="s">
        <v>1263</v>
      </c>
      <c r="B1909" s="3">
        <v>873.0</v>
      </c>
      <c r="C1909" s="3">
        <v>60.0</v>
      </c>
      <c r="D1909" s="3">
        <v>16.0</v>
      </c>
      <c r="E1909" s="3">
        <v>0.0</v>
      </c>
      <c r="F1909" s="3">
        <v>1.0</v>
      </c>
      <c r="G1909" s="3">
        <v>4.0</v>
      </c>
      <c r="H1909" s="3">
        <v>0.0</v>
      </c>
      <c r="I1909" s="2" t="str">
        <f>IFERROR(__xludf.DUMMYFUNCTION("INDEX(SPLIT(A1909, ""/""), 0, 2)"),"regex")</f>
        <v>regex</v>
      </c>
      <c r="J1909" s="2" t="b">
        <f t="shared" si="1"/>
        <v>1</v>
      </c>
    </row>
    <row r="1910">
      <c r="A1910" s="1" t="s">
        <v>1264</v>
      </c>
      <c r="B1910" s="3">
        <v>73.0</v>
      </c>
      <c r="C1910" s="3">
        <v>60.0</v>
      </c>
      <c r="D1910" s="3">
        <v>0.0</v>
      </c>
      <c r="E1910" s="3">
        <v>0.0</v>
      </c>
      <c r="F1910" s="3">
        <v>0.0</v>
      </c>
      <c r="G1910" s="3">
        <v>0.0</v>
      </c>
      <c r="H1910" s="3">
        <v>0.0</v>
      </c>
      <c r="I1910" s="2" t="str">
        <f>IFERROR(__xludf.DUMMYFUNCTION("INDEX(SPLIT(A1910, ""/""), 0, 2)"),"regex")</f>
        <v>regex</v>
      </c>
      <c r="J1910" s="2" t="b">
        <f t="shared" si="1"/>
        <v>0</v>
      </c>
    </row>
    <row r="1911">
      <c r="A1911" s="1" t="s">
        <v>1265</v>
      </c>
      <c r="B1911" s="3">
        <v>19.0</v>
      </c>
      <c r="C1911" s="3">
        <v>60.0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2" t="str">
        <f>IFERROR(__xludf.DUMMYFUNCTION("INDEX(SPLIT(A1911, ""/""), 0, 2)"),"regex")</f>
        <v>regex</v>
      </c>
      <c r="J1911" s="2" t="b">
        <f t="shared" si="1"/>
        <v>0</v>
      </c>
    </row>
    <row r="1912">
      <c r="A1912" s="1" t="s">
        <v>1266</v>
      </c>
      <c r="B1912" s="3">
        <v>36.0</v>
      </c>
      <c r="C1912" s="3">
        <v>60.0</v>
      </c>
      <c r="D1912" s="3">
        <v>0.0</v>
      </c>
      <c r="E1912" s="3">
        <v>0.0</v>
      </c>
      <c r="F1912" s="3">
        <v>0.0</v>
      </c>
      <c r="G1912" s="3">
        <v>0.0</v>
      </c>
      <c r="H1912" s="3">
        <v>0.0</v>
      </c>
      <c r="I1912" s="2" t="str">
        <f>IFERROR(__xludf.DUMMYFUNCTION("INDEX(SPLIT(A1912, ""/""), 0, 2)"),"regex")</f>
        <v>regex</v>
      </c>
      <c r="J1912" s="2" t="b">
        <f t="shared" si="1"/>
        <v>0</v>
      </c>
    </row>
    <row r="1913">
      <c r="A1913" s="1" t="s">
        <v>1267</v>
      </c>
      <c r="B1913" s="3">
        <v>82.0</v>
      </c>
      <c r="C1913" s="3">
        <v>60.0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2" t="str">
        <f>IFERROR(__xludf.DUMMYFUNCTION("INDEX(SPLIT(A1913, ""/""), 0, 2)"),"regex")</f>
        <v>regex</v>
      </c>
      <c r="J1913" s="2" t="b">
        <f t="shared" si="1"/>
        <v>0</v>
      </c>
    </row>
    <row r="1914">
      <c r="A1914" s="1" t="s">
        <v>1268</v>
      </c>
      <c r="B1914" s="3">
        <v>9.0</v>
      </c>
      <c r="C1914" s="3">
        <v>60.0</v>
      </c>
      <c r="D1914" s="3">
        <v>0.0</v>
      </c>
      <c r="E1914" s="3">
        <v>0.0</v>
      </c>
      <c r="F1914" s="3">
        <v>0.0</v>
      </c>
      <c r="G1914" s="3">
        <v>0.0</v>
      </c>
      <c r="H1914" s="3">
        <v>0.0</v>
      </c>
      <c r="I1914" s="2" t="str">
        <f>IFERROR(__xludf.DUMMYFUNCTION("INDEX(SPLIT(A1914, ""/""), 0, 2)"),"regex")</f>
        <v>regex</v>
      </c>
      <c r="J1914" s="2" t="b">
        <f t="shared" si="1"/>
        <v>0</v>
      </c>
    </row>
    <row r="1915">
      <c r="A1915" s="1" t="s">
        <v>1269</v>
      </c>
      <c r="B1915" s="3">
        <v>26.0</v>
      </c>
      <c r="C1915" s="3">
        <v>60.0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2" t="str">
        <f>IFERROR(__xludf.DUMMYFUNCTION("INDEX(SPLIT(A1915, ""/""), 0, 2)"),"regex")</f>
        <v>regex</v>
      </c>
      <c r="J1915" s="2" t="b">
        <f t="shared" si="1"/>
        <v>0</v>
      </c>
    </row>
    <row r="1916">
      <c r="A1916" s="1" t="s">
        <v>1270</v>
      </c>
      <c r="B1916" s="3">
        <v>54.0</v>
      </c>
      <c r="C1916" s="3">
        <v>60.0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2" t="str">
        <f>IFERROR(__xludf.DUMMYFUNCTION("INDEX(SPLIT(A1916, ""/""), 0, 2)"),"regex")</f>
        <v>regex</v>
      </c>
      <c r="J1916" s="2" t="b">
        <f t="shared" si="1"/>
        <v>0</v>
      </c>
    </row>
    <row r="1917">
      <c r="A1917" s="1" t="s">
        <v>1271</v>
      </c>
      <c r="B1917" s="3">
        <v>3.0</v>
      </c>
      <c r="C1917" s="3">
        <v>60.0</v>
      </c>
      <c r="D1917" s="3">
        <v>0.0</v>
      </c>
      <c r="E1917" s="3">
        <v>0.0</v>
      </c>
      <c r="F1917" s="3">
        <v>0.0</v>
      </c>
      <c r="G1917" s="3">
        <v>0.0</v>
      </c>
      <c r="H1917" s="3">
        <v>0.0</v>
      </c>
      <c r="I1917" s="2" t="str">
        <f>IFERROR(__xludf.DUMMYFUNCTION("INDEX(SPLIT(A1917, ""/""), 0, 2)"),"regex")</f>
        <v>regex</v>
      </c>
      <c r="J1917" s="2" t="b">
        <f t="shared" si="1"/>
        <v>0</v>
      </c>
    </row>
    <row r="1918">
      <c r="A1918" s="1" t="s">
        <v>1272</v>
      </c>
      <c r="B1918" s="3">
        <v>14.0</v>
      </c>
      <c r="C1918" s="3">
        <v>60.0</v>
      </c>
      <c r="D1918" s="3">
        <v>0.0</v>
      </c>
      <c r="E1918" s="3">
        <v>0.0</v>
      </c>
      <c r="F1918" s="3">
        <v>0.0</v>
      </c>
      <c r="G1918" s="3">
        <v>0.0</v>
      </c>
      <c r="H1918" s="3">
        <v>0.0</v>
      </c>
      <c r="I1918" s="2" t="str">
        <f>IFERROR(__xludf.DUMMYFUNCTION("INDEX(SPLIT(A1918, ""/""), 0, 2)"),"regex")</f>
        <v>regex</v>
      </c>
      <c r="J1918" s="2" t="b">
        <f t="shared" si="1"/>
        <v>0</v>
      </c>
    </row>
    <row r="1919">
      <c r="A1919" s="1" t="s">
        <v>1273</v>
      </c>
      <c r="B1919" s="3">
        <v>14.0</v>
      </c>
      <c r="C1919" s="3">
        <v>60.0</v>
      </c>
      <c r="D1919" s="3">
        <v>0.0</v>
      </c>
      <c r="E1919" s="3">
        <v>0.0</v>
      </c>
      <c r="F1919" s="3">
        <v>0.0</v>
      </c>
      <c r="G1919" s="3">
        <v>0.0</v>
      </c>
      <c r="H1919" s="3">
        <v>0.0</v>
      </c>
      <c r="I1919" s="2" t="str">
        <f>IFERROR(__xludf.DUMMYFUNCTION("INDEX(SPLIT(A1919, ""/""), 0, 2)"),"regex")</f>
        <v>regex</v>
      </c>
      <c r="J1919" s="2" t="b">
        <f t="shared" si="1"/>
        <v>0</v>
      </c>
    </row>
    <row r="1920">
      <c r="A1920" s="1" t="s">
        <v>1274</v>
      </c>
      <c r="B1920" s="3">
        <v>41.0</v>
      </c>
      <c r="C1920" s="3">
        <v>60.0</v>
      </c>
      <c r="D1920" s="3">
        <v>0.0</v>
      </c>
      <c r="E1920" s="3">
        <v>0.0</v>
      </c>
      <c r="F1920" s="3">
        <v>0.0</v>
      </c>
      <c r="G1920" s="3">
        <v>0.0</v>
      </c>
      <c r="H1920" s="3">
        <v>0.0</v>
      </c>
      <c r="I1920" s="2" t="str">
        <f>IFERROR(__xludf.DUMMYFUNCTION("INDEX(SPLIT(A1920, ""/""), 0, 2)"),"regex")</f>
        <v>regex</v>
      </c>
      <c r="J1920" s="2" t="b">
        <f t="shared" si="1"/>
        <v>0</v>
      </c>
    </row>
    <row r="1921">
      <c r="A1921" s="1" t="s">
        <v>1275</v>
      </c>
      <c r="B1921" s="3">
        <v>37.0</v>
      </c>
      <c r="C1921" s="3">
        <v>60.0</v>
      </c>
      <c r="D1921" s="3">
        <v>0.0</v>
      </c>
      <c r="E1921" s="3">
        <v>0.0</v>
      </c>
      <c r="F1921" s="3">
        <v>0.0</v>
      </c>
      <c r="G1921" s="3">
        <v>0.0</v>
      </c>
      <c r="H1921" s="3">
        <v>0.0</v>
      </c>
      <c r="I1921" s="2" t="str">
        <f>IFERROR(__xludf.DUMMYFUNCTION("INDEX(SPLIT(A1921, ""/""), 0, 2)"),"regex")</f>
        <v>regex</v>
      </c>
      <c r="J1921" s="2" t="b">
        <f t="shared" si="1"/>
        <v>0</v>
      </c>
    </row>
    <row r="1922">
      <c r="A1922" s="1" t="s">
        <v>1276</v>
      </c>
      <c r="B1922" s="3">
        <v>5.0</v>
      </c>
      <c r="C1922" s="3">
        <v>60.0</v>
      </c>
      <c r="D1922" s="3">
        <v>0.0</v>
      </c>
      <c r="E1922" s="3">
        <v>0.0</v>
      </c>
      <c r="F1922" s="3">
        <v>0.0</v>
      </c>
      <c r="G1922" s="3">
        <v>0.0</v>
      </c>
      <c r="H1922" s="3">
        <v>0.0</v>
      </c>
      <c r="I1922" s="2" t="str">
        <f>IFERROR(__xludf.DUMMYFUNCTION("INDEX(SPLIT(A1922, ""/""), 0, 2)"),"regex")</f>
        <v>regex</v>
      </c>
      <c r="J1922" s="2" t="b">
        <f t="shared" si="1"/>
        <v>0</v>
      </c>
    </row>
    <row r="1923">
      <c r="A1923" s="1" t="s">
        <v>1277</v>
      </c>
      <c r="B1923" s="3">
        <v>16.0</v>
      </c>
      <c r="C1923" s="3">
        <v>60.0</v>
      </c>
      <c r="D1923" s="3">
        <v>0.0</v>
      </c>
      <c r="E1923" s="3">
        <v>0.0</v>
      </c>
      <c r="F1923" s="3">
        <v>0.0</v>
      </c>
      <c r="G1923" s="3">
        <v>0.0</v>
      </c>
      <c r="H1923" s="3">
        <v>0.0</v>
      </c>
      <c r="I1923" s="2" t="str">
        <f>IFERROR(__xludf.DUMMYFUNCTION("INDEX(SPLIT(A1923, ""/""), 0, 2)"),"regex")</f>
        <v>regex</v>
      </c>
      <c r="J1923" s="2" t="b">
        <f t="shared" si="1"/>
        <v>0</v>
      </c>
    </row>
    <row r="1924">
      <c r="A1924" s="1" t="s">
        <v>1278</v>
      </c>
      <c r="B1924" s="3">
        <v>7.0</v>
      </c>
      <c r="C1924" s="3">
        <v>60.0</v>
      </c>
      <c r="D1924" s="3">
        <v>0.0</v>
      </c>
      <c r="E1924" s="3">
        <v>0.0</v>
      </c>
      <c r="F1924" s="3">
        <v>0.0</v>
      </c>
      <c r="G1924" s="3">
        <v>0.0</v>
      </c>
      <c r="H1924" s="3">
        <v>0.0</v>
      </c>
      <c r="I1924" s="2" t="str">
        <f>IFERROR(__xludf.DUMMYFUNCTION("INDEX(SPLIT(A1924, ""/""), 0, 2)"),"regex")</f>
        <v>regex</v>
      </c>
      <c r="J1924" s="2" t="b">
        <f t="shared" si="1"/>
        <v>0</v>
      </c>
    </row>
    <row r="1925">
      <c r="A1925" s="1" t="s">
        <v>1279</v>
      </c>
      <c r="B1925" s="3">
        <v>29.0</v>
      </c>
      <c r="C1925" s="3">
        <v>60.0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2" t="str">
        <f>IFERROR(__xludf.DUMMYFUNCTION("INDEX(SPLIT(A1925, ""/""), 0, 2)"),"regex")</f>
        <v>regex</v>
      </c>
      <c r="J1925" s="2" t="b">
        <f t="shared" si="1"/>
        <v>0</v>
      </c>
    </row>
    <row r="1926">
      <c r="A1926" s="1" t="s">
        <v>1280</v>
      </c>
      <c r="B1926" s="3">
        <v>34.0</v>
      </c>
      <c r="C1926" s="3">
        <v>60.0</v>
      </c>
      <c r="D1926" s="3">
        <v>0.0</v>
      </c>
      <c r="E1926" s="3">
        <v>0.0</v>
      </c>
      <c r="F1926" s="3">
        <v>0.0</v>
      </c>
      <c r="G1926" s="3">
        <v>0.0</v>
      </c>
      <c r="H1926" s="3">
        <v>0.0</v>
      </c>
      <c r="I1926" s="2" t="str">
        <f>IFERROR(__xludf.DUMMYFUNCTION("INDEX(SPLIT(A1926, ""/""), 0, 2)"),"regex")</f>
        <v>regex</v>
      </c>
      <c r="J1926" s="2" t="b">
        <f t="shared" si="1"/>
        <v>0</v>
      </c>
    </row>
    <row r="1927">
      <c r="A1927" s="1" t="s">
        <v>1281</v>
      </c>
      <c r="B1927" s="3">
        <v>26.0</v>
      </c>
      <c r="C1927" s="3">
        <v>60.0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2" t="str">
        <f>IFERROR(__xludf.DUMMYFUNCTION("INDEX(SPLIT(A1927, ""/""), 0, 2)"),"regex")</f>
        <v>regex</v>
      </c>
      <c r="J1927" s="2" t="b">
        <f t="shared" si="1"/>
        <v>0</v>
      </c>
    </row>
    <row r="1928">
      <c r="A1928" s="1" t="s">
        <v>1282</v>
      </c>
      <c r="B1928" s="3">
        <v>60.0</v>
      </c>
      <c r="C1928" s="3">
        <v>60.0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2" t="str">
        <f>IFERROR(__xludf.DUMMYFUNCTION("INDEX(SPLIT(A1928, ""/""), 0, 2)"),"regex")</f>
        <v>regex</v>
      </c>
      <c r="J1928" s="2" t="b">
        <f t="shared" si="1"/>
        <v>0</v>
      </c>
    </row>
    <row r="1929">
      <c r="A1929" s="1" t="s">
        <v>1283</v>
      </c>
      <c r="B1929" s="3">
        <v>22.0</v>
      </c>
      <c r="C1929" s="3">
        <v>60.0</v>
      </c>
      <c r="D1929" s="3">
        <v>0.0</v>
      </c>
      <c r="E1929" s="3">
        <v>0.0</v>
      </c>
      <c r="F1929" s="3">
        <v>0.0</v>
      </c>
      <c r="G1929" s="3">
        <v>0.0</v>
      </c>
      <c r="H1929" s="3">
        <v>0.0</v>
      </c>
      <c r="I1929" s="2" t="str">
        <f>IFERROR(__xludf.DUMMYFUNCTION("INDEX(SPLIT(A1929, ""/""), 0, 2)"),"regex")</f>
        <v>regex</v>
      </c>
      <c r="J1929" s="2" t="b">
        <f t="shared" si="1"/>
        <v>0</v>
      </c>
    </row>
    <row r="1930">
      <c r="A1930" s="1" t="s">
        <v>1284</v>
      </c>
      <c r="B1930" s="3">
        <v>11.0</v>
      </c>
      <c r="C1930" s="3">
        <v>60.0</v>
      </c>
      <c r="D1930" s="3">
        <v>0.0</v>
      </c>
      <c r="E1930" s="3">
        <v>0.0</v>
      </c>
      <c r="F1930" s="3">
        <v>0.0</v>
      </c>
      <c r="G1930" s="3">
        <v>0.0</v>
      </c>
      <c r="H1930" s="3">
        <v>0.0</v>
      </c>
      <c r="I1930" s="2" t="str">
        <f>IFERROR(__xludf.DUMMYFUNCTION("INDEX(SPLIT(A1930, ""/""), 0, 2)"),"regex")</f>
        <v>regex</v>
      </c>
      <c r="J1930" s="2" t="b">
        <f t="shared" si="1"/>
        <v>0</v>
      </c>
    </row>
    <row r="1931">
      <c r="A1931" s="1" t="s">
        <v>1285</v>
      </c>
      <c r="B1931" s="3">
        <v>11.0</v>
      </c>
      <c r="C1931" s="3">
        <v>60.0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2" t="str">
        <f>IFERROR(__xludf.DUMMYFUNCTION("INDEX(SPLIT(A1931, ""/""), 0, 2)"),"regex")</f>
        <v>regex</v>
      </c>
      <c r="J1931" s="2" t="b">
        <f t="shared" si="1"/>
        <v>0</v>
      </c>
    </row>
    <row r="1932">
      <c r="A1932" s="1" t="s">
        <v>1286</v>
      </c>
      <c r="B1932" s="3">
        <v>124.0</v>
      </c>
      <c r="C1932" s="3">
        <v>60.0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2" t="str">
        <f>IFERROR(__xludf.DUMMYFUNCTION("INDEX(SPLIT(A1932, ""/""), 0, 2)"),"regex")</f>
        <v>regex</v>
      </c>
      <c r="J1932" s="2" t="b">
        <f t="shared" si="1"/>
        <v>0</v>
      </c>
    </row>
    <row r="1933">
      <c r="A1933" s="1" t="s">
        <v>1287</v>
      </c>
      <c r="B1933" s="3">
        <v>18.0</v>
      </c>
      <c r="C1933" s="3">
        <v>60.0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2" t="str">
        <f>IFERROR(__xludf.DUMMYFUNCTION("INDEX(SPLIT(A1933, ""/""), 0, 2)"),"regex")</f>
        <v>regex</v>
      </c>
      <c r="J1933" s="2" t="b">
        <f t="shared" si="1"/>
        <v>0</v>
      </c>
    </row>
    <row r="1934">
      <c r="A1934" s="1" t="s">
        <v>1288</v>
      </c>
      <c r="B1934" s="3">
        <v>67.0</v>
      </c>
      <c r="C1934" s="3">
        <v>60.0</v>
      </c>
      <c r="D1934" s="3">
        <v>0.0</v>
      </c>
      <c r="E1934" s="3">
        <v>0.0</v>
      </c>
      <c r="F1934" s="3">
        <v>0.0</v>
      </c>
      <c r="G1934" s="3">
        <v>0.0</v>
      </c>
      <c r="H1934" s="3">
        <v>0.0</v>
      </c>
      <c r="I1934" s="2" t="str">
        <f>IFERROR(__xludf.DUMMYFUNCTION("INDEX(SPLIT(A1934, ""/""), 0, 2)"),"regex")</f>
        <v>regex</v>
      </c>
      <c r="J1934" s="2" t="b">
        <f t="shared" si="1"/>
        <v>0</v>
      </c>
    </row>
    <row r="1935">
      <c r="A1935" s="1" t="s">
        <v>1289</v>
      </c>
      <c r="B1935" s="3">
        <v>71.0</v>
      </c>
      <c r="C1935" s="3">
        <v>60.0</v>
      </c>
      <c r="D1935" s="3">
        <v>0.0</v>
      </c>
      <c r="E1935" s="3">
        <v>0.0</v>
      </c>
      <c r="F1935" s="3">
        <v>0.0</v>
      </c>
      <c r="G1935" s="3">
        <v>0.0</v>
      </c>
      <c r="H1935" s="3">
        <v>0.0</v>
      </c>
      <c r="I1935" s="2" t="str">
        <f>IFERROR(__xludf.DUMMYFUNCTION("INDEX(SPLIT(A1935, ""/""), 0, 2)"),"regex")</f>
        <v>regex</v>
      </c>
      <c r="J1935" s="2" t="b">
        <f t="shared" si="1"/>
        <v>0</v>
      </c>
    </row>
    <row r="1936">
      <c r="A1936" s="1" t="s">
        <v>1290</v>
      </c>
      <c r="B1936" s="3">
        <v>80.0</v>
      </c>
      <c r="C1936" s="3">
        <v>60.0</v>
      </c>
      <c r="D1936" s="3">
        <v>0.0</v>
      </c>
      <c r="E1936" s="3">
        <v>0.0</v>
      </c>
      <c r="F1936" s="3">
        <v>0.0</v>
      </c>
      <c r="G1936" s="3">
        <v>0.0</v>
      </c>
      <c r="H1936" s="3">
        <v>0.0</v>
      </c>
      <c r="I1936" s="2" t="str">
        <f>IFERROR(__xludf.DUMMYFUNCTION("INDEX(SPLIT(A1936, ""/""), 0, 2)"),"regex")</f>
        <v>regex</v>
      </c>
      <c r="J1936" s="2" t="b">
        <f t="shared" si="1"/>
        <v>0</v>
      </c>
    </row>
    <row r="1937">
      <c r="A1937" s="1" t="s">
        <v>1291</v>
      </c>
      <c r="B1937" s="3">
        <v>25.0</v>
      </c>
      <c r="C1937" s="3">
        <v>60.0</v>
      </c>
      <c r="D1937" s="3">
        <v>0.0</v>
      </c>
      <c r="E1937" s="3">
        <v>0.0</v>
      </c>
      <c r="F1937" s="3">
        <v>0.0</v>
      </c>
      <c r="G1937" s="3">
        <v>0.0</v>
      </c>
      <c r="H1937" s="3">
        <v>0.0</v>
      </c>
      <c r="I1937" s="2" t="str">
        <f>IFERROR(__xludf.DUMMYFUNCTION("INDEX(SPLIT(A1937, ""/""), 0, 2)"),"regex")</f>
        <v>regex</v>
      </c>
      <c r="J1937" s="2" t="b">
        <f t="shared" si="1"/>
        <v>0</v>
      </c>
    </row>
    <row r="1938">
      <c r="A1938" s="1" t="s">
        <v>1292</v>
      </c>
      <c r="B1938" s="3">
        <v>3.0</v>
      </c>
      <c r="C1938" s="3">
        <v>60.0</v>
      </c>
      <c r="D1938" s="3">
        <v>0.0</v>
      </c>
      <c r="E1938" s="3">
        <v>0.0</v>
      </c>
      <c r="F1938" s="3">
        <v>0.0</v>
      </c>
      <c r="G1938" s="3">
        <v>0.0</v>
      </c>
      <c r="H1938" s="3">
        <v>0.0</v>
      </c>
      <c r="I1938" s="2" t="str">
        <f>IFERROR(__xludf.DUMMYFUNCTION("INDEX(SPLIT(A1938, ""/""), 0, 2)"),"regex")</f>
        <v>regex</v>
      </c>
      <c r="J1938" s="2" t="b">
        <f t="shared" si="1"/>
        <v>0</v>
      </c>
    </row>
    <row r="1939">
      <c r="A1939" s="1" t="s">
        <v>1293</v>
      </c>
      <c r="B1939" s="3">
        <v>38.0</v>
      </c>
      <c r="C1939" s="3">
        <v>60.0</v>
      </c>
      <c r="D1939" s="3">
        <v>0.0</v>
      </c>
      <c r="E1939" s="3">
        <v>0.0</v>
      </c>
      <c r="F1939" s="3">
        <v>0.0</v>
      </c>
      <c r="G1939" s="3">
        <v>0.0</v>
      </c>
      <c r="H1939" s="3">
        <v>0.0</v>
      </c>
      <c r="I1939" s="2" t="str">
        <f>IFERROR(__xludf.DUMMYFUNCTION("INDEX(SPLIT(A1939, ""/""), 0, 2)"),"regex")</f>
        <v>regex</v>
      </c>
      <c r="J1939" s="2" t="b">
        <f t="shared" si="1"/>
        <v>0</v>
      </c>
    </row>
    <row r="1940">
      <c r="A1940" s="1" t="s">
        <v>1294</v>
      </c>
      <c r="B1940" s="3">
        <v>32.0</v>
      </c>
      <c r="C1940" s="3">
        <v>60.0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2" t="str">
        <f>IFERROR(__xludf.DUMMYFUNCTION("INDEX(SPLIT(A1940, ""/""), 0, 2)"),"regex")</f>
        <v>regex</v>
      </c>
      <c r="J1940" s="2" t="b">
        <f t="shared" si="1"/>
        <v>0</v>
      </c>
    </row>
    <row r="1941">
      <c r="A1941" s="1" t="s">
        <v>1295</v>
      </c>
      <c r="B1941" s="3">
        <v>24.0</v>
      </c>
      <c r="C1941" s="3">
        <v>60.0</v>
      </c>
      <c r="D1941" s="3">
        <v>0.0</v>
      </c>
      <c r="E1941" s="3">
        <v>0.0</v>
      </c>
      <c r="F1941" s="3">
        <v>0.0</v>
      </c>
      <c r="G1941" s="3">
        <v>0.0</v>
      </c>
      <c r="H1941" s="3">
        <v>0.0</v>
      </c>
      <c r="I1941" s="2" t="str">
        <f>IFERROR(__xludf.DUMMYFUNCTION("INDEX(SPLIT(A1941, ""/""), 0, 2)"),"regex")</f>
        <v>regex</v>
      </c>
      <c r="J1941" s="2" t="b">
        <f t="shared" si="1"/>
        <v>0</v>
      </c>
    </row>
    <row r="1942">
      <c r="A1942" s="1" t="s">
        <v>1296</v>
      </c>
      <c r="B1942" s="3">
        <v>4.0</v>
      </c>
      <c r="C1942" s="3">
        <v>60.0</v>
      </c>
      <c r="D1942" s="3">
        <v>0.0</v>
      </c>
      <c r="E1942" s="3">
        <v>0.0</v>
      </c>
      <c r="F1942" s="3">
        <v>0.0</v>
      </c>
      <c r="G1942" s="3">
        <v>0.0</v>
      </c>
      <c r="H1942" s="3">
        <v>0.0</v>
      </c>
      <c r="I1942" s="2" t="str">
        <f>IFERROR(__xludf.DUMMYFUNCTION("INDEX(SPLIT(A1942, ""/""), 0, 2)"),"regex")</f>
        <v>regex</v>
      </c>
      <c r="J1942" s="2" t="b">
        <f t="shared" si="1"/>
        <v>0</v>
      </c>
    </row>
    <row r="1943">
      <c r="A1943" s="1" t="s">
        <v>1297</v>
      </c>
      <c r="B1943" s="3">
        <v>12.0</v>
      </c>
      <c r="C1943" s="3">
        <v>60.0</v>
      </c>
      <c r="D1943" s="3">
        <v>0.0</v>
      </c>
      <c r="E1943" s="3">
        <v>0.0</v>
      </c>
      <c r="F1943" s="3">
        <v>0.0</v>
      </c>
      <c r="G1943" s="3">
        <v>0.0</v>
      </c>
      <c r="H1943" s="3">
        <v>0.0</v>
      </c>
      <c r="I1943" s="2" t="str">
        <f>IFERROR(__xludf.DUMMYFUNCTION("INDEX(SPLIT(A1943, ""/""), 0, 2)"),"regex")</f>
        <v>regex</v>
      </c>
      <c r="J1943" s="2" t="b">
        <f t="shared" si="1"/>
        <v>0</v>
      </c>
    </row>
    <row r="1944">
      <c r="A1944" s="1" t="s">
        <v>1298</v>
      </c>
      <c r="B1944" s="3">
        <v>5.0</v>
      </c>
      <c r="C1944" s="3">
        <v>60.0</v>
      </c>
      <c r="D1944" s="3">
        <v>0.0</v>
      </c>
      <c r="E1944" s="3">
        <v>0.0</v>
      </c>
      <c r="F1944" s="3">
        <v>0.0</v>
      </c>
      <c r="G1944" s="3">
        <v>0.0</v>
      </c>
      <c r="H1944" s="3">
        <v>0.0</v>
      </c>
      <c r="I1944" s="2" t="str">
        <f>IFERROR(__xludf.DUMMYFUNCTION("INDEX(SPLIT(A1944, ""/""), 0, 2)"),"regex")</f>
        <v>regex</v>
      </c>
      <c r="J1944" s="2" t="b">
        <f t="shared" si="1"/>
        <v>0</v>
      </c>
    </row>
    <row r="1945">
      <c r="A1945" s="1" t="s">
        <v>1299</v>
      </c>
      <c r="B1945" s="3">
        <v>62.0</v>
      </c>
      <c r="C1945" s="3">
        <v>60.0</v>
      </c>
      <c r="D1945" s="3">
        <v>0.0</v>
      </c>
      <c r="E1945" s="3">
        <v>0.0</v>
      </c>
      <c r="F1945" s="3">
        <v>0.0</v>
      </c>
      <c r="G1945" s="3">
        <v>0.0</v>
      </c>
      <c r="H1945" s="3">
        <v>0.0</v>
      </c>
      <c r="I1945" s="2" t="str">
        <f>IFERROR(__xludf.DUMMYFUNCTION("INDEX(SPLIT(A1945, ""/""), 0, 2)"),"regex")</f>
        <v>regex</v>
      </c>
      <c r="J1945" s="2" t="b">
        <f t="shared" si="1"/>
        <v>0</v>
      </c>
    </row>
    <row r="1946">
      <c r="A1946" s="1" t="s">
        <v>1300</v>
      </c>
      <c r="B1946" s="3">
        <v>235.0</v>
      </c>
      <c r="C1946" s="3">
        <v>60.0</v>
      </c>
      <c r="D1946" s="3">
        <v>1.0</v>
      </c>
      <c r="E1946" s="3">
        <v>0.0</v>
      </c>
      <c r="F1946" s="3">
        <v>0.0</v>
      </c>
      <c r="G1946" s="3">
        <v>1.0</v>
      </c>
      <c r="H1946" s="3">
        <v>0.0</v>
      </c>
      <c r="I1946" s="2" t="str">
        <f>IFERROR(__xludf.DUMMYFUNCTION("INDEX(SPLIT(A1946, ""/""), 0, 2)"),"regex")</f>
        <v>regex</v>
      </c>
      <c r="J1946" s="2" t="b">
        <f t="shared" si="1"/>
        <v>0</v>
      </c>
    </row>
    <row r="1947">
      <c r="A1947" s="1" t="s">
        <v>1301</v>
      </c>
      <c r="B1947" s="3">
        <v>25.0</v>
      </c>
      <c r="C1947" s="3">
        <v>60.0</v>
      </c>
      <c r="D1947" s="3">
        <v>0.0</v>
      </c>
      <c r="E1947" s="3">
        <v>0.0</v>
      </c>
      <c r="F1947" s="3">
        <v>0.0</v>
      </c>
      <c r="G1947" s="3">
        <v>0.0</v>
      </c>
      <c r="H1947" s="3">
        <v>0.0</v>
      </c>
      <c r="I1947" s="2" t="str">
        <f>IFERROR(__xludf.DUMMYFUNCTION("INDEX(SPLIT(A1947, ""/""), 0, 2)"),"regex")</f>
        <v>regex</v>
      </c>
      <c r="J1947" s="2" t="b">
        <f t="shared" si="1"/>
        <v>0</v>
      </c>
    </row>
    <row r="1948">
      <c r="A1948" s="1" t="s">
        <v>1302</v>
      </c>
      <c r="B1948" s="3">
        <v>21.0</v>
      </c>
      <c r="C1948" s="3">
        <v>60.0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2" t="str">
        <f>IFERROR(__xludf.DUMMYFUNCTION("INDEX(SPLIT(A1948, ""/""), 0, 2)"),"regex")</f>
        <v>regex</v>
      </c>
      <c r="J1948" s="2" t="b">
        <f t="shared" si="1"/>
        <v>0</v>
      </c>
    </row>
    <row r="1949">
      <c r="A1949" s="1" t="s">
        <v>1303</v>
      </c>
      <c r="B1949" s="3">
        <v>41.0</v>
      </c>
      <c r="C1949" s="3">
        <v>60.0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2" t="str">
        <f>IFERROR(__xludf.DUMMYFUNCTION("INDEX(SPLIT(A1949, ""/""), 0, 2)"),"regex")</f>
        <v>regex</v>
      </c>
      <c r="J1949" s="2" t="b">
        <f t="shared" si="1"/>
        <v>0</v>
      </c>
    </row>
    <row r="1950">
      <c r="A1950" s="1" t="s">
        <v>1304</v>
      </c>
      <c r="B1950" s="3">
        <v>66.0</v>
      </c>
      <c r="C1950" s="3">
        <v>60.0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2" t="str">
        <f>IFERROR(__xludf.DUMMYFUNCTION("INDEX(SPLIT(A1950, ""/""), 0, 2)"),"regex")</f>
        <v>regex</v>
      </c>
      <c r="J1950" s="2" t="b">
        <f t="shared" si="1"/>
        <v>0</v>
      </c>
    </row>
    <row r="1951">
      <c r="A1951" s="1" t="s">
        <v>1305</v>
      </c>
      <c r="B1951" s="3">
        <v>35.0</v>
      </c>
      <c r="C1951" s="3">
        <v>60.0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2" t="str">
        <f>IFERROR(__xludf.DUMMYFUNCTION("INDEX(SPLIT(A1951, ""/""), 0, 2)"),"regex")</f>
        <v>regex</v>
      </c>
      <c r="J1951" s="2" t="b">
        <f t="shared" si="1"/>
        <v>0</v>
      </c>
    </row>
    <row r="1952">
      <c r="A1952" s="1" t="s">
        <v>1306</v>
      </c>
      <c r="B1952" s="3">
        <v>74.0</v>
      </c>
      <c r="C1952" s="3">
        <v>60.0</v>
      </c>
      <c r="D1952" s="3">
        <v>0.0</v>
      </c>
      <c r="E1952" s="3">
        <v>0.0</v>
      </c>
      <c r="F1952" s="3">
        <v>0.0</v>
      </c>
      <c r="G1952" s="3">
        <v>0.0</v>
      </c>
      <c r="H1952" s="3">
        <v>0.0</v>
      </c>
      <c r="I1952" s="2" t="str">
        <f>IFERROR(__xludf.DUMMYFUNCTION("INDEX(SPLIT(A1952, ""/""), 0, 2)"),"regex")</f>
        <v>regex</v>
      </c>
      <c r="J1952" s="2" t="b">
        <f t="shared" si="1"/>
        <v>0</v>
      </c>
    </row>
    <row r="1953">
      <c r="A1953" s="1" t="s">
        <v>1307</v>
      </c>
      <c r="B1953" s="3">
        <v>34.0</v>
      </c>
      <c r="C1953" s="3">
        <v>60.0</v>
      </c>
      <c r="D1953" s="3">
        <v>0.0</v>
      </c>
      <c r="E1953" s="3">
        <v>0.0</v>
      </c>
      <c r="F1953" s="3">
        <v>0.0</v>
      </c>
      <c r="G1953" s="3">
        <v>0.0</v>
      </c>
      <c r="H1953" s="3">
        <v>0.0</v>
      </c>
      <c r="I1953" s="2" t="str">
        <f>IFERROR(__xludf.DUMMYFUNCTION("INDEX(SPLIT(A1953, ""/""), 0, 2)"),"regex")</f>
        <v>regex</v>
      </c>
      <c r="J1953" s="2" t="b">
        <f t="shared" si="1"/>
        <v>0</v>
      </c>
    </row>
    <row r="1954">
      <c r="A1954" s="1" t="s">
        <v>1308</v>
      </c>
      <c r="B1954" s="3">
        <v>116.0</v>
      </c>
      <c r="C1954" s="3">
        <v>60.0</v>
      </c>
      <c r="D1954" s="3">
        <v>0.0</v>
      </c>
      <c r="E1954" s="3">
        <v>0.0</v>
      </c>
      <c r="F1954" s="3">
        <v>0.0</v>
      </c>
      <c r="G1954" s="3">
        <v>0.0</v>
      </c>
      <c r="H1954" s="3">
        <v>0.0</v>
      </c>
      <c r="I1954" s="2" t="str">
        <f>IFERROR(__xludf.DUMMYFUNCTION("INDEX(SPLIT(A1954, ""/""), 0, 2)"),"regex")</f>
        <v>regex</v>
      </c>
      <c r="J1954" s="2" t="b">
        <f t="shared" si="1"/>
        <v>0</v>
      </c>
    </row>
    <row r="1955">
      <c r="A1955" s="1" t="s">
        <v>1309</v>
      </c>
      <c r="B1955" s="3">
        <v>40.0</v>
      </c>
      <c r="C1955" s="3">
        <v>60.0</v>
      </c>
      <c r="D1955" s="3">
        <v>0.0</v>
      </c>
      <c r="E1955" s="3">
        <v>0.0</v>
      </c>
      <c r="F1955" s="3">
        <v>0.0</v>
      </c>
      <c r="G1955" s="3">
        <v>0.0</v>
      </c>
      <c r="H1955" s="3">
        <v>0.0</v>
      </c>
      <c r="I1955" s="2" t="str">
        <f>IFERROR(__xludf.DUMMYFUNCTION("INDEX(SPLIT(A1955, ""/""), 0, 2)"),"regex")</f>
        <v>regex</v>
      </c>
      <c r="J1955" s="2" t="b">
        <f t="shared" si="1"/>
        <v>0</v>
      </c>
    </row>
    <row r="1956">
      <c r="A1956" s="1" t="s">
        <v>1310</v>
      </c>
      <c r="B1956" s="3">
        <v>47.0</v>
      </c>
      <c r="C1956" s="3">
        <v>60.0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2" t="str">
        <f>IFERROR(__xludf.DUMMYFUNCTION("INDEX(SPLIT(A1956, ""/""), 0, 2)"),"regex")</f>
        <v>regex</v>
      </c>
      <c r="J1956" s="2" t="b">
        <f t="shared" si="1"/>
        <v>0</v>
      </c>
    </row>
    <row r="1957">
      <c r="A1957" s="1" t="s">
        <v>1311</v>
      </c>
      <c r="B1957" s="3">
        <v>23.0</v>
      </c>
      <c r="C1957" s="3">
        <v>60.0</v>
      </c>
      <c r="D1957" s="3">
        <v>0.0</v>
      </c>
      <c r="E1957" s="3">
        <v>0.0</v>
      </c>
      <c r="F1957" s="3">
        <v>0.0</v>
      </c>
      <c r="G1957" s="3">
        <v>0.0</v>
      </c>
      <c r="H1957" s="3">
        <v>0.0</v>
      </c>
      <c r="I1957" s="2" t="str">
        <f>IFERROR(__xludf.DUMMYFUNCTION("INDEX(SPLIT(A1957, ""/""), 0, 2)"),"regex")</f>
        <v>regex</v>
      </c>
      <c r="J1957" s="2" t="b">
        <f t="shared" si="1"/>
        <v>0</v>
      </c>
    </row>
    <row r="1958">
      <c r="A1958" s="1" t="s">
        <v>1312</v>
      </c>
      <c r="B1958" s="3">
        <v>13.0</v>
      </c>
      <c r="C1958" s="3">
        <v>60.0</v>
      </c>
      <c r="D1958" s="3">
        <v>0.0</v>
      </c>
      <c r="E1958" s="3">
        <v>0.0</v>
      </c>
      <c r="F1958" s="3">
        <v>0.0</v>
      </c>
      <c r="G1958" s="3">
        <v>0.0</v>
      </c>
      <c r="H1958" s="3">
        <v>0.0</v>
      </c>
      <c r="I1958" s="2" t="str">
        <f>IFERROR(__xludf.DUMMYFUNCTION("INDEX(SPLIT(A1958, ""/""), 0, 2)"),"regex")</f>
        <v>regex</v>
      </c>
      <c r="J1958" s="2" t="b">
        <f t="shared" si="1"/>
        <v>0</v>
      </c>
    </row>
    <row r="1959">
      <c r="A1959" s="1" t="s">
        <v>1313</v>
      </c>
      <c r="B1959" s="3">
        <v>101.0</v>
      </c>
      <c r="C1959" s="3">
        <v>60.0</v>
      </c>
      <c r="D1959" s="3">
        <v>0.0</v>
      </c>
      <c r="E1959" s="3">
        <v>0.0</v>
      </c>
      <c r="F1959" s="3">
        <v>0.0</v>
      </c>
      <c r="G1959" s="3">
        <v>0.0</v>
      </c>
      <c r="H1959" s="3">
        <v>0.0</v>
      </c>
      <c r="I1959" s="2" t="str">
        <f>IFERROR(__xludf.DUMMYFUNCTION("INDEX(SPLIT(A1959, ""/""), 0, 2)"),"regex")</f>
        <v>regex</v>
      </c>
      <c r="J1959" s="2" t="b">
        <f t="shared" si="1"/>
        <v>0</v>
      </c>
    </row>
    <row r="1960">
      <c r="A1960" s="1" t="s">
        <v>1314</v>
      </c>
      <c r="B1960" s="3">
        <v>83.0</v>
      </c>
      <c r="C1960" s="3">
        <v>60.0</v>
      </c>
      <c r="D1960" s="3">
        <v>0.0</v>
      </c>
      <c r="E1960" s="3">
        <v>0.0</v>
      </c>
      <c r="F1960" s="3">
        <v>0.0</v>
      </c>
      <c r="G1960" s="3">
        <v>0.0</v>
      </c>
      <c r="H1960" s="3">
        <v>0.0</v>
      </c>
      <c r="I1960" s="2" t="str">
        <f>IFERROR(__xludf.DUMMYFUNCTION("INDEX(SPLIT(A1960, ""/""), 0, 2)"),"regex")</f>
        <v>regex</v>
      </c>
      <c r="J1960" s="2" t="b">
        <f t="shared" si="1"/>
        <v>0</v>
      </c>
    </row>
    <row r="1961">
      <c r="A1961" s="1" t="s">
        <v>1315</v>
      </c>
      <c r="B1961" s="3">
        <v>436.0</v>
      </c>
      <c r="C1961" s="3">
        <v>60.0</v>
      </c>
      <c r="D1961" s="3">
        <v>7.0</v>
      </c>
      <c r="E1961" s="3">
        <v>0.0</v>
      </c>
      <c r="F1961" s="3">
        <v>0.0</v>
      </c>
      <c r="G1961" s="3">
        <v>1.0</v>
      </c>
      <c r="H1961" s="3">
        <v>0.0</v>
      </c>
      <c r="I1961" s="2" t="str">
        <f>IFERROR(__xludf.DUMMYFUNCTION("INDEX(SPLIT(A1961, ""/""), 0, 2)"),"regex")</f>
        <v>regex</v>
      </c>
      <c r="J1961" s="2" t="b">
        <f t="shared" si="1"/>
        <v>0</v>
      </c>
    </row>
    <row r="1962">
      <c r="A1962" s="1" t="s">
        <v>1316</v>
      </c>
      <c r="B1962" s="3">
        <v>12.0</v>
      </c>
      <c r="C1962" s="3">
        <v>60.0</v>
      </c>
      <c r="D1962" s="3">
        <v>0.0</v>
      </c>
      <c r="E1962" s="3">
        <v>0.0</v>
      </c>
      <c r="F1962" s="3">
        <v>0.0</v>
      </c>
      <c r="G1962" s="3">
        <v>0.0</v>
      </c>
      <c r="H1962" s="3">
        <v>0.0</v>
      </c>
      <c r="I1962" s="2" t="str">
        <f>IFERROR(__xludf.DUMMYFUNCTION("INDEX(SPLIT(A1962, ""/""), 0, 2)"),"regex")</f>
        <v>regex</v>
      </c>
      <c r="J1962" s="2" t="b">
        <f t="shared" si="1"/>
        <v>0</v>
      </c>
    </row>
    <row r="1963">
      <c r="A1963" s="1" t="s">
        <v>1317</v>
      </c>
      <c r="B1963" s="3">
        <v>10.0</v>
      </c>
      <c r="C1963" s="3">
        <v>60.0</v>
      </c>
      <c r="D1963" s="3">
        <v>0.0</v>
      </c>
      <c r="E1963" s="3">
        <v>0.0</v>
      </c>
      <c r="F1963" s="3">
        <v>0.0</v>
      </c>
      <c r="G1963" s="3">
        <v>0.0</v>
      </c>
      <c r="H1963" s="3">
        <v>0.0</v>
      </c>
      <c r="I1963" s="2" t="str">
        <f>IFERROR(__xludf.DUMMYFUNCTION("INDEX(SPLIT(A1963, ""/""), 0, 2)"),"regex")</f>
        <v>regex</v>
      </c>
      <c r="J1963" s="2" t="b">
        <f t="shared" si="1"/>
        <v>0</v>
      </c>
    </row>
    <row r="1964">
      <c r="A1964" s="1" t="s">
        <v>1318</v>
      </c>
      <c r="B1964" s="3">
        <v>32.0</v>
      </c>
      <c r="C1964" s="3">
        <v>60.0</v>
      </c>
      <c r="D1964" s="3">
        <v>0.0</v>
      </c>
      <c r="E1964" s="3">
        <v>0.0</v>
      </c>
      <c r="F1964" s="3">
        <v>0.0</v>
      </c>
      <c r="G1964" s="3">
        <v>0.0</v>
      </c>
      <c r="H1964" s="3">
        <v>0.0</v>
      </c>
      <c r="I1964" s="2" t="str">
        <f>IFERROR(__xludf.DUMMYFUNCTION("INDEX(SPLIT(A1964, ""/""), 0, 2)"),"regex")</f>
        <v>regex</v>
      </c>
      <c r="J1964" s="2" t="b">
        <f t="shared" si="1"/>
        <v>0</v>
      </c>
    </row>
    <row r="1965">
      <c r="A1965" s="1" t="s">
        <v>1319</v>
      </c>
      <c r="B1965" s="3">
        <v>35.0</v>
      </c>
      <c r="C1965" s="3">
        <v>60.0</v>
      </c>
      <c r="D1965" s="3">
        <v>0.0</v>
      </c>
      <c r="E1965" s="3">
        <v>0.0</v>
      </c>
      <c r="F1965" s="3">
        <v>0.0</v>
      </c>
      <c r="G1965" s="3">
        <v>0.0</v>
      </c>
      <c r="H1965" s="3">
        <v>0.0</v>
      </c>
      <c r="I1965" s="2" t="str">
        <f>IFERROR(__xludf.DUMMYFUNCTION("INDEX(SPLIT(A1965, ""/""), 0, 2)"),"regex")</f>
        <v>regex</v>
      </c>
      <c r="J1965" s="2" t="b">
        <f t="shared" si="1"/>
        <v>0</v>
      </c>
    </row>
    <row r="1966">
      <c r="A1966" s="1" t="s">
        <v>1320</v>
      </c>
      <c r="B1966" s="3">
        <v>77.0</v>
      </c>
      <c r="C1966" s="3">
        <v>60.0</v>
      </c>
      <c r="D1966" s="3">
        <v>0.0</v>
      </c>
      <c r="E1966" s="3">
        <v>0.0</v>
      </c>
      <c r="F1966" s="3">
        <v>0.0</v>
      </c>
      <c r="G1966" s="3">
        <v>0.0</v>
      </c>
      <c r="H1966" s="3">
        <v>0.0</v>
      </c>
      <c r="I1966" s="2" t="str">
        <f>IFERROR(__xludf.DUMMYFUNCTION("INDEX(SPLIT(A1966, ""/""), 0, 2)"),"regex")</f>
        <v>regex</v>
      </c>
      <c r="J1966" s="2" t="b">
        <f t="shared" si="1"/>
        <v>0</v>
      </c>
    </row>
    <row r="1967">
      <c r="A1967" s="1" t="s">
        <v>1321</v>
      </c>
      <c r="B1967" s="3">
        <v>60.0</v>
      </c>
      <c r="C1967" s="3">
        <v>60.0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2" t="str">
        <f>IFERROR(__xludf.DUMMYFUNCTION("INDEX(SPLIT(A1967, ""/""), 0, 2)"),"regex")</f>
        <v>regex</v>
      </c>
      <c r="J1967" s="2" t="b">
        <f t="shared" si="1"/>
        <v>0</v>
      </c>
    </row>
    <row r="1968">
      <c r="A1968" s="1" t="s">
        <v>1322</v>
      </c>
      <c r="B1968" s="3">
        <v>32.0</v>
      </c>
      <c r="C1968" s="3">
        <v>60.0</v>
      </c>
      <c r="D1968" s="3">
        <v>0.0</v>
      </c>
      <c r="E1968" s="3">
        <v>0.0</v>
      </c>
      <c r="F1968" s="3">
        <v>0.0</v>
      </c>
      <c r="G1968" s="3">
        <v>0.0</v>
      </c>
      <c r="H1968" s="3">
        <v>0.0</v>
      </c>
      <c r="I1968" s="2" t="str">
        <f>IFERROR(__xludf.DUMMYFUNCTION("INDEX(SPLIT(A1968, ""/""), 0, 2)"),"regex")</f>
        <v>regex</v>
      </c>
      <c r="J1968" s="2" t="b">
        <f t="shared" si="1"/>
        <v>0</v>
      </c>
    </row>
    <row r="1969">
      <c r="A1969" s="1" t="s">
        <v>1323</v>
      </c>
      <c r="B1969" s="3">
        <v>23.0</v>
      </c>
      <c r="C1969" s="3">
        <v>60.0</v>
      </c>
      <c r="D1969" s="3">
        <v>0.0</v>
      </c>
      <c r="E1969" s="3">
        <v>0.0</v>
      </c>
      <c r="F1969" s="3">
        <v>0.0</v>
      </c>
      <c r="G1969" s="3">
        <v>0.0</v>
      </c>
      <c r="H1969" s="3">
        <v>0.0</v>
      </c>
      <c r="I1969" s="2" t="str">
        <f>IFERROR(__xludf.DUMMYFUNCTION("INDEX(SPLIT(A1969, ""/""), 0, 2)"),"regex")</f>
        <v>regex</v>
      </c>
      <c r="J1969" s="2" t="b">
        <f t="shared" si="1"/>
        <v>0</v>
      </c>
    </row>
    <row r="1970">
      <c r="A1970" s="1" t="s">
        <v>1324</v>
      </c>
      <c r="B1970" s="3">
        <v>19.0</v>
      </c>
      <c r="C1970" s="3">
        <v>60.0</v>
      </c>
      <c r="D1970" s="3">
        <v>0.0</v>
      </c>
      <c r="E1970" s="3">
        <v>0.0</v>
      </c>
      <c r="F1970" s="3">
        <v>0.0</v>
      </c>
      <c r="G1970" s="3">
        <v>0.0</v>
      </c>
      <c r="H1970" s="3">
        <v>0.0</v>
      </c>
      <c r="I1970" s="2" t="str">
        <f>IFERROR(__xludf.DUMMYFUNCTION("INDEX(SPLIT(A1970, ""/""), 0, 2)"),"regex")</f>
        <v>regex</v>
      </c>
      <c r="J1970" s="2" t="b">
        <f t="shared" si="1"/>
        <v>0</v>
      </c>
    </row>
    <row r="1971">
      <c r="A1971" s="1" t="s">
        <v>1325</v>
      </c>
      <c r="B1971" s="3">
        <v>96.0</v>
      </c>
      <c r="C1971" s="3">
        <v>60.0</v>
      </c>
      <c r="D1971" s="3">
        <v>0.0</v>
      </c>
      <c r="E1971" s="3">
        <v>0.0</v>
      </c>
      <c r="F1971" s="3">
        <v>0.0</v>
      </c>
      <c r="G1971" s="3">
        <v>0.0</v>
      </c>
      <c r="H1971" s="3">
        <v>0.0</v>
      </c>
      <c r="I1971" s="2" t="str">
        <f>IFERROR(__xludf.DUMMYFUNCTION("INDEX(SPLIT(A1971, ""/""), 0, 2)"),"regex")</f>
        <v>regex</v>
      </c>
      <c r="J1971" s="2" t="b">
        <f t="shared" si="1"/>
        <v>0</v>
      </c>
    </row>
    <row r="1972">
      <c r="A1972" s="1" t="s">
        <v>1326</v>
      </c>
      <c r="B1972" s="3">
        <v>32.0</v>
      </c>
      <c r="C1972" s="3">
        <v>60.0</v>
      </c>
      <c r="D1972" s="3">
        <v>0.0</v>
      </c>
      <c r="E1972" s="3">
        <v>0.0</v>
      </c>
      <c r="F1972" s="3">
        <v>0.0</v>
      </c>
      <c r="G1972" s="3">
        <v>0.0</v>
      </c>
      <c r="H1972" s="3">
        <v>0.0</v>
      </c>
      <c r="I1972" s="2" t="str">
        <f>IFERROR(__xludf.DUMMYFUNCTION("INDEX(SPLIT(A1972, ""/""), 0, 2)"),"regex")</f>
        <v>regex</v>
      </c>
      <c r="J1972" s="2" t="b">
        <f t="shared" si="1"/>
        <v>0</v>
      </c>
    </row>
    <row r="1973">
      <c r="A1973" s="1" t="s">
        <v>1327</v>
      </c>
      <c r="B1973" s="3">
        <v>121.0</v>
      </c>
      <c r="C1973" s="3">
        <v>60.0</v>
      </c>
      <c r="D1973" s="3">
        <v>0.0</v>
      </c>
      <c r="E1973" s="3">
        <v>0.0</v>
      </c>
      <c r="F1973" s="3">
        <v>0.0</v>
      </c>
      <c r="G1973" s="3">
        <v>0.0</v>
      </c>
      <c r="H1973" s="3">
        <v>0.0</v>
      </c>
      <c r="I1973" s="2" t="str">
        <f>IFERROR(__xludf.DUMMYFUNCTION("INDEX(SPLIT(A1973, ""/""), 0, 2)"),"regex")</f>
        <v>regex</v>
      </c>
      <c r="J1973" s="2" t="b">
        <f t="shared" si="1"/>
        <v>0</v>
      </c>
    </row>
    <row r="1974">
      <c r="A1974" s="1" t="s">
        <v>1328</v>
      </c>
      <c r="B1974" s="3">
        <v>81.0</v>
      </c>
      <c r="C1974" s="3">
        <v>60.0</v>
      </c>
      <c r="D1974" s="3">
        <v>0.0</v>
      </c>
      <c r="E1974" s="3">
        <v>0.0</v>
      </c>
      <c r="F1974" s="3">
        <v>0.0</v>
      </c>
      <c r="G1974" s="3">
        <v>0.0</v>
      </c>
      <c r="H1974" s="3">
        <v>0.0</v>
      </c>
      <c r="I1974" s="2" t="str">
        <f>IFERROR(__xludf.DUMMYFUNCTION("INDEX(SPLIT(A1974, ""/""), 0, 2)"),"regex")</f>
        <v>regex</v>
      </c>
      <c r="J1974" s="2" t="b">
        <f t="shared" si="1"/>
        <v>0</v>
      </c>
    </row>
    <row r="1975">
      <c r="A1975" s="1" t="s">
        <v>1329</v>
      </c>
      <c r="B1975" s="3">
        <v>120.0</v>
      </c>
      <c r="C1975" s="3">
        <v>60.0</v>
      </c>
      <c r="D1975" s="3">
        <v>0.0</v>
      </c>
      <c r="E1975" s="3">
        <v>0.0</v>
      </c>
      <c r="F1975" s="3">
        <v>0.0</v>
      </c>
      <c r="G1975" s="3">
        <v>0.0</v>
      </c>
      <c r="H1975" s="3">
        <v>0.0</v>
      </c>
      <c r="I1975" s="2" t="str">
        <f>IFERROR(__xludf.DUMMYFUNCTION("INDEX(SPLIT(A1975, ""/""), 0, 2)"),"regex")</f>
        <v>regex</v>
      </c>
      <c r="J1975" s="2" t="b">
        <f t="shared" si="1"/>
        <v>0</v>
      </c>
    </row>
    <row r="1976">
      <c r="A1976" s="1" t="s">
        <v>1330</v>
      </c>
      <c r="B1976" s="3">
        <v>61.0</v>
      </c>
      <c r="C1976" s="3">
        <v>60.0</v>
      </c>
      <c r="D1976" s="3">
        <v>0.0</v>
      </c>
      <c r="E1976" s="3">
        <v>0.0</v>
      </c>
      <c r="F1976" s="3">
        <v>0.0</v>
      </c>
      <c r="G1976" s="3">
        <v>0.0</v>
      </c>
      <c r="H1976" s="3">
        <v>0.0</v>
      </c>
      <c r="I1976" s="2" t="str">
        <f>IFERROR(__xludf.DUMMYFUNCTION("INDEX(SPLIT(A1976, ""/""), 0, 2)"),"regex")</f>
        <v>regex</v>
      </c>
      <c r="J1976" s="2" t="b">
        <f t="shared" si="1"/>
        <v>0</v>
      </c>
    </row>
    <row r="1977">
      <c r="A1977" s="1" t="s">
        <v>1331</v>
      </c>
      <c r="B1977" s="3">
        <v>89.0</v>
      </c>
      <c r="C1977" s="3">
        <v>60.0</v>
      </c>
      <c r="D1977" s="3">
        <v>0.0</v>
      </c>
      <c r="E1977" s="3">
        <v>0.0</v>
      </c>
      <c r="F1977" s="3">
        <v>0.0</v>
      </c>
      <c r="G1977" s="3">
        <v>0.0</v>
      </c>
      <c r="H1977" s="3">
        <v>0.0</v>
      </c>
      <c r="I1977" s="2" t="str">
        <f>IFERROR(__xludf.DUMMYFUNCTION("INDEX(SPLIT(A1977, ""/""), 0, 2)"),"regex")</f>
        <v>regex</v>
      </c>
      <c r="J1977" s="2" t="b">
        <f t="shared" si="1"/>
        <v>0</v>
      </c>
    </row>
    <row r="1978">
      <c r="A1978" s="1" t="s">
        <v>1332</v>
      </c>
      <c r="B1978" s="3">
        <v>6.0</v>
      </c>
      <c r="C1978" s="3">
        <v>60.0</v>
      </c>
      <c r="D1978" s="3">
        <v>0.0</v>
      </c>
      <c r="E1978" s="3">
        <v>0.0</v>
      </c>
      <c r="F1978" s="3">
        <v>0.0</v>
      </c>
      <c r="G1978" s="3">
        <v>0.0</v>
      </c>
      <c r="H1978" s="3">
        <v>0.0</v>
      </c>
      <c r="I1978" s="2" t="str">
        <f>IFERROR(__xludf.DUMMYFUNCTION("INDEX(SPLIT(A1978, ""/""), 0, 2)"),"regex")</f>
        <v>regex</v>
      </c>
      <c r="J1978" s="2" t="b">
        <f t="shared" si="1"/>
        <v>0</v>
      </c>
    </row>
    <row r="1979">
      <c r="A1979" s="1" t="s">
        <v>1333</v>
      </c>
      <c r="B1979" s="3">
        <v>35.0</v>
      </c>
      <c r="C1979" s="3">
        <v>60.0</v>
      </c>
      <c r="D1979" s="3">
        <v>0.0</v>
      </c>
      <c r="E1979" s="3">
        <v>0.0</v>
      </c>
      <c r="F1979" s="3">
        <v>0.0</v>
      </c>
      <c r="G1979" s="3">
        <v>0.0</v>
      </c>
      <c r="H1979" s="3">
        <v>0.0</v>
      </c>
      <c r="I1979" s="2" t="str">
        <f>IFERROR(__xludf.DUMMYFUNCTION("INDEX(SPLIT(A1979, ""/""), 0, 2)"),"regex")</f>
        <v>regex</v>
      </c>
      <c r="J1979" s="2" t="b">
        <f t="shared" si="1"/>
        <v>0</v>
      </c>
    </row>
    <row r="1980">
      <c r="A1980" s="1" t="s">
        <v>1334</v>
      </c>
      <c r="B1980" s="3">
        <v>62.0</v>
      </c>
      <c r="C1980" s="3">
        <v>60.0</v>
      </c>
      <c r="D1980" s="3">
        <v>0.0</v>
      </c>
      <c r="E1980" s="3">
        <v>0.0</v>
      </c>
      <c r="F1980" s="3">
        <v>0.0</v>
      </c>
      <c r="G1980" s="3">
        <v>0.0</v>
      </c>
      <c r="H1980" s="3">
        <v>0.0</v>
      </c>
      <c r="I1980" s="2" t="str">
        <f>IFERROR(__xludf.DUMMYFUNCTION("INDEX(SPLIT(A1980, ""/""), 0, 2)"),"regex")</f>
        <v>regex</v>
      </c>
      <c r="J1980" s="2" t="b">
        <f t="shared" si="1"/>
        <v>0</v>
      </c>
    </row>
    <row r="1981">
      <c r="A1981" s="1" t="s">
        <v>1335</v>
      </c>
      <c r="B1981" s="3">
        <v>112.0</v>
      </c>
      <c r="C1981" s="3">
        <v>60.0</v>
      </c>
      <c r="D1981" s="3">
        <v>0.0</v>
      </c>
      <c r="E1981" s="3">
        <v>0.0</v>
      </c>
      <c r="F1981" s="3">
        <v>0.0</v>
      </c>
      <c r="G1981" s="3">
        <v>0.0</v>
      </c>
      <c r="H1981" s="3">
        <v>0.0</v>
      </c>
      <c r="I1981" s="2" t="str">
        <f>IFERROR(__xludf.DUMMYFUNCTION("INDEX(SPLIT(A1981, ""/""), 0, 2)"),"regex")</f>
        <v>regex</v>
      </c>
      <c r="J1981" s="2" t="b">
        <f t="shared" si="1"/>
        <v>0</v>
      </c>
    </row>
    <row r="1982">
      <c r="A1982" s="1" t="s">
        <v>1336</v>
      </c>
      <c r="B1982" s="3">
        <v>36.0</v>
      </c>
      <c r="C1982" s="3">
        <v>60.0</v>
      </c>
      <c r="D1982" s="3">
        <v>0.0</v>
      </c>
      <c r="E1982" s="3">
        <v>0.0</v>
      </c>
      <c r="F1982" s="3">
        <v>0.0</v>
      </c>
      <c r="G1982" s="3">
        <v>0.0</v>
      </c>
      <c r="H1982" s="3">
        <v>0.0</v>
      </c>
      <c r="I1982" s="2" t="str">
        <f>IFERROR(__xludf.DUMMYFUNCTION("INDEX(SPLIT(A1982, ""/""), 0, 2)"),"regex")</f>
        <v>regex</v>
      </c>
      <c r="J1982" s="2" t="b">
        <f t="shared" si="1"/>
        <v>0</v>
      </c>
    </row>
    <row r="1983">
      <c r="A1983" s="1" t="s">
        <v>1337</v>
      </c>
      <c r="B1983" s="3">
        <v>52.0</v>
      </c>
      <c r="C1983" s="3">
        <v>60.0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2" t="str">
        <f>IFERROR(__xludf.DUMMYFUNCTION("INDEX(SPLIT(A1983, ""/""), 0, 2)"),"regex")</f>
        <v>regex</v>
      </c>
      <c r="J1983" s="2" t="b">
        <f t="shared" si="1"/>
        <v>0</v>
      </c>
    </row>
    <row r="1984">
      <c r="A1984" s="1" t="s">
        <v>1338</v>
      </c>
      <c r="B1984" s="3">
        <v>5.0</v>
      </c>
      <c r="C1984" s="3">
        <v>60.0</v>
      </c>
      <c r="D1984" s="3">
        <v>0.0</v>
      </c>
      <c r="E1984" s="3">
        <v>0.0</v>
      </c>
      <c r="F1984" s="3">
        <v>0.0</v>
      </c>
      <c r="G1984" s="3">
        <v>0.0</v>
      </c>
      <c r="H1984" s="3">
        <v>0.0</v>
      </c>
      <c r="I1984" s="2" t="str">
        <f>IFERROR(__xludf.DUMMYFUNCTION("INDEX(SPLIT(A1984, ""/""), 0, 2)"),"regex")</f>
        <v>regex</v>
      </c>
      <c r="J1984" s="2" t="b">
        <f t="shared" si="1"/>
        <v>0</v>
      </c>
    </row>
    <row r="1985">
      <c r="A1985" s="1" t="s">
        <v>1339</v>
      </c>
      <c r="B1985" s="3">
        <v>62.0</v>
      </c>
      <c r="C1985" s="3">
        <v>60.0</v>
      </c>
      <c r="D1985" s="3">
        <v>0.0</v>
      </c>
      <c r="E1985" s="3">
        <v>0.0</v>
      </c>
      <c r="F1985" s="3">
        <v>0.0</v>
      </c>
      <c r="G1985" s="3">
        <v>0.0</v>
      </c>
      <c r="H1985" s="3">
        <v>0.0</v>
      </c>
      <c r="I1985" s="2" t="str">
        <f>IFERROR(__xludf.DUMMYFUNCTION("INDEX(SPLIT(A1985, ""/""), 0, 2)"),"regex")</f>
        <v>regex</v>
      </c>
      <c r="J1985" s="2" t="b">
        <f t="shared" si="1"/>
        <v>0</v>
      </c>
    </row>
    <row r="1986">
      <c r="A1986" s="1" t="s">
        <v>1340</v>
      </c>
      <c r="B1986" s="3">
        <v>29.0</v>
      </c>
      <c r="C1986" s="3">
        <v>60.0</v>
      </c>
      <c r="D1986" s="3">
        <v>0.0</v>
      </c>
      <c r="E1986" s="3">
        <v>0.0</v>
      </c>
      <c r="F1986" s="3">
        <v>0.0</v>
      </c>
      <c r="G1986" s="3">
        <v>0.0</v>
      </c>
      <c r="H1986" s="3">
        <v>0.0</v>
      </c>
      <c r="I1986" s="2" t="str">
        <f>IFERROR(__xludf.DUMMYFUNCTION("INDEX(SPLIT(A1986, ""/""), 0, 2)"),"regex")</f>
        <v>regex</v>
      </c>
      <c r="J1986" s="2" t="b">
        <f t="shared" si="1"/>
        <v>0</v>
      </c>
    </row>
    <row r="1987">
      <c r="A1987" s="1" t="s">
        <v>1341</v>
      </c>
      <c r="B1987" s="3">
        <v>19.0</v>
      </c>
      <c r="C1987" s="3">
        <v>60.0</v>
      </c>
      <c r="D1987" s="3">
        <v>0.0</v>
      </c>
      <c r="E1987" s="3">
        <v>0.0</v>
      </c>
      <c r="F1987" s="3">
        <v>0.0</v>
      </c>
      <c r="G1987" s="3">
        <v>0.0</v>
      </c>
      <c r="H1987" s="3">
        <v>0.0</v>
      </c>
      <c r="I1987" s="2" t="str">
        <f>IFERROR(__xludf.DUMMYFUNCTION("INDEX(SPLIT(A1987, ""/""), 0, 2)"),"regex")</f>
        <v>regex</v>
      </c>
      <c r="J1987" s="2" t="b">
        <f t="shared" si="1"/>
        <v>0</v>
      </c>
    </row>
    <row r="1988">
      <c r="A1988" s="1" t="s">
        <v>1342</v>
      </c>
      <c r="B1988" s="3">
        <v>31.0</v>
      </c>
      <c r="C1988" s="3">
        <v>60.0</v>
      </c>
      <c r="D1988" s="3">
        <v>0.0</v>
      </c>
      <c r="E1988" s="3">
        <v>0.0</v>
      </c>
      <c r="F1988" s="3">
        <v>0.0</v>
      </c>
      <c r="G1988" s="3">
        <v>0.0</v>
      </c>
      <c r="H1988" s="3">
        <v>0.0</v>
      </c>
      <c r="I1988" s="2" t="str">
        <f>IFERROR(__xludf.DUMMYFUNCTION("INDEX(SPLIT(A1988, ""/""), 0, 2)"),"regex")</f>
        <v>regex</v>
      </c>
      <c r="J1988" s="2" t="b">
        <f t="shared" si="1"/>
        <v>0</v>
      </c>
    </row>
    <row r="1989">
      <c r="A1989" s="1" t="s">
        <v>1343</v>
      </c>
      <c r="B1989" s="3">
        <v>24.0</v>
      </c>
      <c r="C1989" s="3">
        <v>60.0</v>
      </c>
      <c r="D1989" s="3">
        <v>0.0</v>
      </c>
      <c r="E1989" s="3">
        <v>0.0</v>
      </c>
      <c r="F1989" s="3">
        <v>0.0</v>
      </c>
      <c r="G1989" s="3">
        <v>0.0</v>
      </c>
      <c r="H1989" s="3">
        <v>0.0</v>
      </c>
      <c r="I1989" s="2" t="str">
        <f>IFERROR(__xludf.DUMMYFUNCTION("INDEX(SPLIT(A1989, ""/""), 0, 2)"),"regex")</f>
        <v>regex</v>
      </c>
      <c r="J1989" s="2" t="b">
        <f t="shared" si="1"/>
        <v>0</v>
      </c>
    </row>
    <row r="1990">
      <c r="A1990" s="1" t="s">
        <v>1344</v>
      </c>
      <c r="B1990" s="3">
        <v>127.0</v>
      </c>
      <c r="C1990" s="3">
        <v>60.0</v>
      </c>
      <c r="D1990" s="3">
        <v>0.0</v>
      </c>
      <c r="E1990" s="3">
        <v>0.0</v>
      </c>
      <c r="F1990" s="3">
        <v>0.0</v>
      </c>
      <c r="G1990" s="3">
        <v>0.0</v>
      </c>
      <c r="H1990" s="3">
        <v>0.0</v>
      </c>
      <c r="I1990" s="2" t="str">
        <f>IFERROR(__xludf.DUMMYFUNCTION("INDEX(SPLIT(A1990, ""/""), 0, 2)"),"regex")</f>
        <v>regex</v>
      </c>
      <c r="J1990" s="2" t="b">
        <f t="shared" si="1"/>
        <v>0</v>
      </c>
    </row>
    <row r="1991">
      <c r="A1991" s="1" t="s">
        <v>1345</v>
      </c>
      <c r="B1991" s="3">
        <v>4.0</v>
      </c>
      <c r="C1991" s="3">
        <v>60.0</v>
      </c>
      <c r="D1991" s="3">
        <v>0.0</v>
      </c>
      <c r="E1991" s="3">
        <v>0.0</v>
      </c>
      <c r="F1991" s="3">
        <v>0.0</v>
      </c>
      <c r="G1991" s="3">
        <v>0.0</v>
      </c>
      <c r="H1991" s="3">
        <v>0.0</v>
      </c>
      <c r="I1991" s="2" t="str">
        <f>IFERROR(__xludf.DUMMYFUNCTION("INDEX(SPLIT(A1991, ""/""), 0, 2)"),"regex")</f>
        <v>regex</v>
      </c>
      <c r="J1991" s="2" t="b">
        <f t="shared" si="1"/>
        <v>0</v>
      </c>
    </row>
    <row r="1992">
      <c r="A1992" s="1" t="s">
        <v>1346</v>
      </c>
      <c r="B1992" s="3">
        <v>50.0</v>
      </c>
      <c r="C1992" s="3">
        <v>60.0</v>
      </c>
      <c r="D1992" s="3">
        <v>0.0</v>
      </c>
      <c r="E1992" s="3">
        <v>0.0</v>
      </c>
      <c r="F1992" s="3">
        <v>0.0</v>
      </c>
      <c r="G1992" s="3">
        <v>0.0</v>
      </c>
      <c r="H1992" s="3">
        <v>0.0</v>
      </c>
      <c r="I1992" s="2" t="str">
        <f>IFERROR(__xludf.DUMMYFUNCTION("INDEX(SPLIT(A1992, ""/""), 0, 2)"),"regex")</f>
        <v>regex</v>
      </c>
      <c r="J1992" s="2" t="b">
        <f t="shared" si="1"/>
        <v>0</v>
      </c>
    </row>
    <row r="1993">
      <c r="A1993" s="1" t="s">
        <v>1347</v>
      </c>
      <c r="B1993" s="3">
        <v>98.0</v>
      </c>
      <c r="C1993" s="3">
        <v>60.0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2" t="str">
        <f>IFERROR(__xludf.DUMMYFUNCTION("INDEX(SPLIT(A1993, ""/""), 0, 2)"),"regex")</f>
        <v>regex</v>
      </c>
      <c r="J1993" s="2" t="b">
        <f t="shared" si="1"/>
        <v>0</v>
      </c>
    </row>
    <row r="1994">
      <c r="A1994" s="1" t="s">
        <v>1348</v>
      </c>
      <c r="B1994" s="3">
        <v>30.0</v>
      </c>
      <c r="C1994" s="3">
        <v>60.0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</v>
      </c>
      <c r="I1994" s="2" t="str">
        <f>IFERROR(__xludf.DUMMYFUNCTION("INDEX(SPLIT(A1994, ""/""), 0, 2)"),"regex")</f>
        <v>regex</v>
      </c>
      <c r="J1994" s="2" t="b">
        <f t="shared" si="1"/>
        <v>0</v>
      </c>
    </row>
    <row r="1995">
      <c r="A1995" s="1" t="s">
        <v>1349</v>
      </c>
      <c r="B1995" s="3">
        <v>91.0</v>
      </c>
      <c r="C1995" s="3">
        <v>60.0</v>
      </c>
      <c r="D1995" s="3">
        <v>0.0</v>
      </c>
      <c r="E1995" s="3">
        <v>0.0</v>
      </c>
      <c r="F1995" s="3">
        <v>0.0</v>
      </c>
      <c r="G1995" s="3">
        <v>0.0</v>
      </c>
      <c r="H1995" s="3">
        <v>0.0</v>
      </c>
      <c r="I1995" s="2" t="str">
        <f>IFERROR(__xludf.DUMMYFUNCTION("INDEX(SPLIT(A1995, ""/""), 0, 2)"),"regex")</f>
        <v>regex</v>
      </c>
      <c r="J1995" s="2" t="b">
        <f t="shared" si="1"/>
        <v>0</v>
      </c>
    </row>
    <row r="1996">
      <c r="A1996" s="1" t="s">
        <v>1350</v>
      </c>
      <c r="B1996" s="3">
        <v>66.0</v>
      </c>
      <c r="C1996" s="3">
        <v>60.0</v>
      </c>
      <c r="D1996" s="3">
        <v>0.0</v>
      </c>
      <c r="E1996" s="3">
        <v>0.0</v>
      </c>
      <c r="F1996" s="3">
        <v>0.0</v>
      </c>
      <c r="G1996" s="3">
        <v>0.0</v>
      </c>
      <c r="H1996" s="3">
        <v>0.0</v>
      </c>
      <c r="I1996" s="2" t="str">
        <f>IFERROR(__xludf.DUMMYFUNCTION("INDEX(SPLIT(A1996, ""/""), 0, 2)"),"regex")</f>
        <v>regex</v>
      </c>
      <c r="J1996" s="2" t="b">
        <f t="shared" si="1"/>
        <v>0</v>
      </c>
    </row>
    <row r="1997">
      <c r="A1997" s="1" t="s">
        <v>1351</v>
      </c>
      <c r="B1997" s="3">
        <v>48.0</v>
      </c>
      <c r="C1997" s="3">
        <v>60.0</v>
      </c>
      <c r="D1997" s="3">
        <v>0.0</v>
      </c>
      <c r="E1997" s="3">
        <v>0.0</v>
      </c>
      <c r="F1997" s="3">
        <v>0.0</v>
      </c>
      <c r="G1997" s="3">
        <v>0.0</v>
      </c>
      <c r="H1997" s="3">
        <v>0.0</v>
      </c>
      <c r="I1997" s="2" t="str">
        <f>IFERROR(__xludf.DUMMYFUNCTION("INDEX(SPLIT(A1997, ""/""), 0, 2)"),"regex")</f>
        <v>regex</v>
      </c>
      <c r="J1997" s="2" t="b">
        <f t="shared" si="1"/>
        <v>0</v>
      </c>
    </row>
    <row r="1998">
      <c r="A1998" s="1" t="s">
        <v>1352</v>
      </c>
      <c r="B1998" s="3">
        <v>25.0</v>
      </c>
      <c r="C1998" s="3">
        <v>60.0</v>
      </c>
      <c r="D1998" s="3">
        <v>0.0</v>
      </c>
      <c r="E1998" s="3">
        <v>0.0</v>
      </c>
      <c r="F1998" s="3">
        <v>0.0</v>
      </c>
      <c r="G1998" s="3">
        <v>0.0</v>
      </c>
      <c r="H1998" s="3">
        <v>0.0</v>
      </c>
      <c r="I1998" s="2" t="str">
        <f>IFERROR(__xludf.DUMMYFUNCTION("INDEX(SPLIT(A1998, ""/""), 0, 2)"),"regex")</f>
        <v>regex</v>
      </c>
      <c r="J1998" s="2" t="b">
        <f t="shared" si="1"/>
        <v>0</v>
      </c>
    </row>
    <row r="1999">
      <c r="A1999" s="1" t="s">
        <v>1353</v>
      </c>
      <c r="B1999" s="3">
        <v>34.0</v>
      </c>
      <c r="C1999" s="3">
        <v>60.0</v>
      </c>
      <c r="D1999" s="3">
        <v>0.0</v>
      </c>
      <c r="E1999" s="3">
        <v>0.0</v>
      </c>
      <c r="F1999" s="3">
        <v>0.0</v>
      </c>
      <c r="G1999" s="3">
        <v>0.0</v>
      </c>
      <c r="H1999" s="3">
        <v>0.0</v>
      </c>
      <c r="I1999" s="2" t="str">
        <f>IFERROR(__xludf.DUMMYFUNCTION("INDEX(SPLIT(A1999, ""/""), 0, 2)"),"regex")</f>
        <v>regex</v>
      </c>
      <c r="J1999" s="2" t="b">
        <f t="shared" si="1"/>
        <v>0</v>
      </c>
    </row>
    <row r="2000">
      <c r="A2000" s="1" t="s">
        <v>1354</v>
      </c>
      <c r="B2000" s="3">
        <v>13.0</v>
      </c>
      <c r="C2000" s="3">
        <v>60.0</v>
      </c>
      <c r="D2000" s="3">
        <v>0.0</v>
      </c>
      <c r="E2000" s="3">
        <v>0.0</v>
      </c>
      <c r="F2000" s="3">
        <v>0.0</v>
      </c>
      <c r="G2000" s="3">
        <v>0.0</v>
      </c>
      <c r="H2000" s="3">
        <v>0.0</v>
      </c>
      <c r="I2000" s="2" t="str">
        <f>IFERROR(__xludf.DUMMYFUNCTION("INDEX(SPLIT(A2000, ""/""), 0, 2)"),"regex")</f>
        <v>regex</v>
      </c>
      <c r="J2000" s="2" t="b">
        <f t="shared" si="1"/>
        <v>0</v>
      </c>
    </row>
    <row r="2001">
      <c r="A2001" s="1" t="s">
        <v>1355</v>
      </c>
      <c r="B2001" s="3">
        <v>10.0</v>
      </c>
      <c r="C2001" s="3">
        <v>60.0</v>
      </c>
      <c r="D2001" s="3">
        <v>0.0</v>
      </c>
      <c r="E2001" s="3">
        <v>0.0</v>
      </c>
      <c r="F2001" s="3">
        <v>0.0</v>
      </c>
      <c r="G2001" s="3">
        <v>0.0</v>
      </c>
      <c r="H2001" s="3">
        <v>0.0</v>
      </c>
      <c r="I2001" s="2" t="str">
        <f>IFERROR(__xludf.DUMMYFUNCTION("INDEX(SPLIT(A2001, ""/""), 0, 2)"),"regex")</f>
        <v>regex</v>
      </c>
      <c r="J2001" s="2" t="b">
        <f t="shared" si="1"/>
        <v>0</v>
      </c>
    </row>
    <row r="2002">
      <c r="A2002" s="1" t="s">
        <v>1356</v>
      </c>
      <c r="B2002" s="3">
        <v>41.0</v>
      </c>
      <c r="C2002" s="3">
        <v>60.0</v>
      </c>
      <c r="D2002" s="3">
        <v>0.0</v>
      </c>
      <c r="E2002" s="3">
        <v>0.0</v>
      </c>
      <c r="F2002" s="3">
        <v>0.0</v>
      </c>
      <c r="G2002" s="3">
        <v>0.0</v>
      </c>
      <c r="H2002" s="3">
        <v>0.0</v>
      </c>
      <c r="I2002" s="2" t="str">
        <f>IFERROR(__xludf.DUMMYFUNCTION("INDEX(SPLIT(A2002, ""/""), 0, 2)"),"regex")</f>
        <v>regex</v>
      </c>
      <c r="J2002" s="2" t="b">
        <f t="shared" si="1"/>
        <v>0</v>
      </c>
    </row>
    <row r="2003">
      <c r="A2003" s="1" t="s">
        <v>1357</v>
      </c>
      <c r="B2003" s="3">
        <v>14.0</v>
      </c>
      <c r="C2003" s="3">
        <v>60.0</v>
      </c>
      <c r="D2003" s="3">
        <v>0.0</v>
      </c>
      <c r="E2003" s="3">
        <v>0.0</v>
      </c>
      <c r="F2003" s="3">
        <v>0.0</v>
      </c>
      <c r="G2003" s="3">
        <v>0.0</v>
      </c>
      <c r="H2003" s="3">
        <v>0.0</v>
      </c>
      <c r="I2003" s="2" t="str">
        <f>IFERROR(__xludf.DUMMYFUNCTION("INDEX(SPLIT(A2003, ""/""), 0, 2)"),"regex")</f>
        <v>regex</v>
      </c>
      <c r="J2003" s="2" t="b">
        <f t="shared" si="1"/>
        <v>0</v>
      </c>
    </row>
    <row r="2004">
      <c r="A2004" s="1" t="s">
        <v>1358</v>
      </c>
      <c r="B2004" s="3">
        <v>23.0</v>
      </c>
      <c r="C2004" s="3">
        <v>60.0</v>
      </c>
      <c r="D2004" s="3">
        <v>0.0</v>
      </c>
      <c r="E2004" s="3">
        <v>0.0</v>
      </c>
      <c r="F2004" s="3">
        <v>0.0</v>
      </c>
      <c r="G2004" s="3">
        <v>0.0</v>
      </c>
      <c r="H2004" s="3">
        <v>0.0</v>
      </c>
      <c r="I2004" s="2" t="str">
        <f>IFERROR(__xludf.DUMMYFUNCTION("INDEX(SPLIT(A2004, ""/""), 0, 2)"),"regex")</f>
        <v>regex</v>
      </c>
      <c r="J2004" s="2" t="b">
        <f t="shared" si="1"/>
        <v>0</v>
      </c>
    </row>
    <row r="2005">
      <c r="A2005" s="1" t="s">
        <v>1359</v>
      </c>
      <c r="B2005" s="3">
        <v>33.0</v>
      </c>
      <c r="C2005" s="3">
        <v>60.0</v>
      </c>
      <c r="D2005" s="3">
        <v>0.0</v>
      </c>
      <c r="E2005" s="3">
        <v>0.0</v>
      </c>
      <c r="F2005" s="3">
        <v>0.0</v>
      </c>
      <c r="G2005" s="3">
        <v>0.0</v>
      </c>
      <c r="H2005" s="3">
        <v>0.0</v>
      </c>
      <c r="I2005" s="2" t="str">
        <f>IFERROR(__xludf.DUMMYFUNCTION("INDEX(SPLIT(A2005, ""/""), 0, 2)"),"regex")</f>
        <v>regex</v>
      </c>
      <c r="J2005" s="2" t="b">
        <f t="shared" si="1"/>
        <v>0</v>
      </c>
    </row>
    <row r="2006">
      <c r="A2006" s="1" t="s">
        <v>1360</v>
      </c>
      <c r="B2006" s="3">
        <v>110.0</v>
      </c>
      <c r="C2006" s="3">
        <v>60.0</v>
      </c>
      <c r="D2006" s="3">
        <v>0.0</v>
      </c>
      <c r="E2006" s="3">
        <v>0.0</v>
      </c>
      <c r="F2006" s="3">
        <v>0.0</v>
      </c>
      <c r="G2006" s="3">
        <v>0.0</v>
      </c>
      <c r="H2006" s="3">
        <v>0.0</v>
      </c>
      <c r="I2006" s="2" t="str">
        <f>IFERROR(__xludf.DUMMYFUNCTION("INDEX(SPLIT(A2006, ""/""), 0, 2)"),"regex")</f>
        <v>regex</v>
      </c>
      <c r="J2006" s="2" t="b">
        <f t="shared" si="1"/>
        <v>0</v>
      </c>
    </row>
    <row r="2007">
      <c r="A2007" s="1" t="s">
        <v>1361</v>
      </c>
      <c r="B2007" s="3">
        <v>10.0</v>
      </c>
      <c r="C2007" s="3">
        <v>60.0</v>
      </c>
      <c r="D2007" s="3">
        <v>0.0</v>
      </c>
      <c r="E2007" s="3">
        <v>0.0</v>
      </c>
      <c r="F2007" s="3">
        <v>0.0</v>
      </c>
      <c r="G2007" s="3">
        <v>0.0</v>
      </c>
      <c r="H2007" s="3">
        <v>0.0</v>
      </c>
      <c r="I2007" s="2" t="str">
        <f>IFERROR(__xludf.DUMMYFUNCTION("INDEX(SPLIT(A2007, ""/""), 0, 2)"),"regex")</f>
        <v>regex</v>
      </c>
      <c r="J2007" s="2" t="b">
        <f t="shared" si="1"/>
        <v>0</v>
      </c>
    </row>
    <row r="2008">
      <c r="A2008" s="1" t="s">
        <v>1362</v>
      </c>
      <c r="B2008" s="3">
        <v>98.0</v>
      </c>
      <c r="C2008" s="3">
        <v>60.0</v>
      </c>
      <c r="D2008" s="3">
        <v>0.0</v>
      </c>
      <c r="E2008" s="3">
        <v>0.0</v>
      </c>
      <c r="F2008" s="3">
        <v>0.0</v>
      </c>
      <c r="G2008" s="3">
        <v>0.0</v>
      </c>
      <c r="H2008" s="3">
        <v>0.0</v>
      </c>
      <c r="I2008" s="2" t="str">
        <f>IFERROR(__xludf.DUMMYFUNCTION("INDEX(SPLIT(A2008, ""/""), 0, 2)"),"regex")</f>
        <v>regex</v>
      </c>
      <c r="J2008" s="2" t="b">
        <f t="shared" si="1"/>
        <v>0</v>
      </c>
    </row>
    <row r="2009">
      <c r="A2009" s="1" t="s">
        <v>1363</v>
      </c>
      <c r="B2009" s="3">
        <v>4.0</v>
      </c>
      <c r="C2009" s="3">
        <v>60.0</v>
      </c>
      <c r="D2009" s="3">
        <v>0.0</v>
      </c>
      <c r="E2009" s="3">
        <v>0.0</v>
      </c>
      <c r="F2009" s="3">
        <v>0.0</v>
      </c>
      <c r="G2009" s="3">
        <v>0.0</v>
      </c>
      <c r="H2009" s="3">
        <v>0.0</v>
      </c>
      <c r="I2009" s="2" t="str">
        <f>IFERROR(__xludf.DUMMYFUNCTION("INDEX(SPLIT(A2009, ""/""), 0, 2)"),"regex")</f>
        <v>regex</v>
      </c>
      <c r="J2009" s="2" t="b">
        <f t="shared" si="1"/>
        <v>0</v>
      </c>
    </row>
    <row r="2010">
      <c r="A2010" s="1" t="s">
        <v>1364</v>
      </c>
      <c r="B2010" s="3">
        <v>122.0</v>
      </c>
      <c r="C2010" s="3">
        <v>60.0</v>
      </c>
      <c r="D2010" s="3">
        <v>0.0</v>
      </c>
      <c r="E2010" s="3">
        <v>0.0</v>
      </c>
      <c r="F2010" s="3">
        <v>0.0</v>
      </c>
      <c r="G2010" s="3">
        <v>0.0</v>
      </c>
      <c r="H2010" s="3">
        <v>0.0</v>
      </c>
      <c r="I2010" s="2" t="str">
        <f>IFERROR(__xludf.DUMMYFUNCTION("INDEX(SPLIT(A2010, ""/""), 0, 2)"),"regex")</f>
        <v>regex</v>
      </c>
      <c r="J2010" s="2" t="b">
        <f t="shared" si="1"/>
        <v>0</v>
      </c>
    </row>
    <row r="2011">
      <c r="A2011" s="1" t="s">
        <v>1365</v>
      </c>
      <c r="B2011" s="3">
        <v>22.0</v>
      </c>
      <c r="C2011" s="3">
        <v>60.0</v>
      </c>
      <c r="D2011" s="3">
        <v>0.0</v>
      </c>
      <c r="E2011" s="3">
        <v>0.0</v>
      </c>
      <c r="F2011" s="3">
        <v>0.0</v>
      </c>
      <c r="G2011" s="3">
        <v>0.0</v>
      </c>
      <c r="H2011" s="3">
        <v>0.0</v>
      </c>
      <c r="I2011" s="2" t="str">
        <f>IFERROR(__xludf.DUMMYFUNCTION("INDEX(SPLIT(A2011, ""/""), 0, 2)"),"regex")</f>
        <v>regex</v>
      </c>
      <c r="J2011" s="2" t="b">
        <f t="shared" si="1"/>
        <v>0</v>
      </c>
    </row>
    <row r="2012">
      <c r="A2012" s="1" t="s">
        <v>1366</v>
      </c>
      <c r="B2012" s="3">
        <v>10.0</v>
      </c>
      <c r="C2012" s="3">
        <v>60.0</v>
      </c>
      <c r="D2012" s="3">
        <v>0.0</v>
      </c>
      <c r="E2012" s="3">
        <v>0.0</v>
      </c>
      <c r="F2012" s="3">
        <v>0.0</v>
      </c>
      <c r="G2012" s="3">
        <v>0.0</v>
      </c>
      <c r="H2012" s="3">
        <v>0.0</v>
      </c>
      <c r="I2012" s="2" t="str">
        <f>IFERROR(__xludf.DUMMYFUNCTION("INDEX(SPLIT(A2012, ""/""), 0, 2)"),"regex")</f>
        <v>regex</v>
      </c>
      <c r="J2012" s="2" t="b">
        <f t="shared" si="1"/>
        <v>0</v>
      </c>
    </row>
    <row r="2013">
      <c r="A2013" s="1" t="s">
        <v>1367</v>
      </c>
      <c r="B2013" s="3">
        <v>34.0</v>
      </c>
      <c r="C2013" s="3">
        <v>60.0</v>
      </c>
      <c r="D2013" s="3">
        <v>0.0</v>
      </c>
      <c r="E2013" s="3">
        <v>0.0</v>
      </c>
      <c r="F2013" s="3">
        <v>0.0</v>
      </c>
      <c r="G2013" s="3">
        <v>0.0</v>
      </c>
      <c r="H2013" s="3">
        <v>0.0</v>
      </c>
      <c r="I2013" s="2" t="str">
        <f>IFERROR(__xludf.DUMMYFUNCTION("INDEX(SPLIT(A2013, ""/""), 0, 2)"),"regex")</f>
        <v>regex</v>
      </c>
      <c r="J2013" s="2" t="b">
        <f t="shared" si="1"/>
        <v>0</v>
      </c>
    </row>
    <row r="2014">
      <c r="A2014" s="1" t="s">
        <v>1368</v>
      </c>
      <c r="B2014" s="3">
        <v>4.0</v>
      </c>
      <c r="C2014" s="3">
        <v>60.0</v>
      </c>
      <c r="D2014" s="3">
        <v>0.0</v>
      </c>
      <c r="E2014" s="3">
        <v>0.0</v>
      </c>
      <c r="F2014" s="3">
        <v>0.0</v>
      </c>
      <c r="G2014" s="3">
        <v>0.0</v>
      </c>
      <c r="H2014" s="3">
        <v>0.0</v>
      </c>
      <c r="I2014" s="2" t="str">
        <f>IFERROR(__xludf.DUMMYFUNCTION("INDEX(SPLIT(A2014, ""/""), 0, 2)"),"regex")</f>
        <v>regex</v>
      </c>
      <c r="J2014" s="2" t="b">
        <f t="shared" si="1"/>
        <v>0</v>
      </c>
    </row>
    <row r="2015">
      <c r="A2015" s="1" t="s">
        <v>1369</v>
      </c>
      <c r="B2015" s="3">
        <v>85.0</v>
      </c>
      <c r="C2015" s="3">
        <v>60.0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2" t="str">
        <f>IFERROR(__xludf.DUMMYFUNCTION("INDEX(SPLIT(A2015, ""/""), 0, 2)"),"regex")</f>
        <v>regex</v>
      </c>
      <c r="J2015" s="2" t="b">
        <f t="shared" si="1"/>
        <v>0</v>
      </c>
    </row>
    <row r="2016">
      <c r="A2016" s="1" t="s">
        <v>1370</v>
      </c>
      <c r="B2016" s="3">
        <v>33.0</v>
      </c>
      <c r="C2016" s="3">
        <v>60.0</v>
      </c>
      <c r="D2016" s="3">
        <v>0.0</v>
      </c>
      <c r="E2016" s="3">
        <v>0.0</v>
      </c>
      <c r="F2016" s="3">
        <v>0.0</v>
      </c>
      <c r="G2016" s="3">
        <v>0.0</v>
      </c>
      <c r="H2016" s="3">
        <v>0.0</v>
      </c>
      <c r="I2016" s="2" t="str">
        <f>IFERROR(__xludf.DUMMYFUNCTION("INDEX(SPLIT(A2016, ""/""), 0, 2)"),"regex")</f>
        <v>regex</v>
      </c>
      <c r="J2016" s="2" t="b">
        <f t="shared" si="1"/>
        <v>0</v>
      </c>
    </row>
    <row r="2017">
      <c r="A2017" s="1" t="s">
        <v>1371</v>
      </c>
      <c r="B2017" s="3">
        <v>19.0</v>
      </c>
      <c r="C2017" s="3">
        <v>60.0</v>
      </c>
      <c r="D2017" s="3">
        <v>0.0</v>
      </c>
      <c r="E2017" s="3">
        <v>0.0</v>
      </c>
      <c r="F2017" s="3">
        <v>0.0</v>
      </c>
      <c r="G2017" s="3">
        <v>0.0</v>
      </c>
      <c r="H2017" s="3">
        <v>0.0</v>
      </c>
      <c r="I2017" s="2" t="str">
        <f>IFERROR(__xludf.DUMMYFUNCTION("INDEX(SPLIT(A2017, ""/""), 0, 2)"),"regex")</f>
        <v>regex</v>
      </c>
      <c r="J2017" s="2" t="b">
        <f t="shared" si="1"/>
        <v>0</v>
      </c>
    </row>
    <row r="2018">
      <c r="A2018" s="1" t="s">
        <v>1372</v>
      </c>
      <c r="B2018" s="3">
        <v>34.0</v>
      </c>
      <c r="C2018" s="3">
        <v>60.0</v>
      </c>
      <c r="D2018" s="3">
        <v>0.0</v>
      </c>
      <c r="E2018" s="3">
        <v>0.0</v>
      </c>
      <c r="F2018" s="3">
        <v>0.0</v>
      </c>
      <c r="G2018" s="3">
        <v>0.0</v>
      </c>
      <c r="H2018" s="3">
        <v>0.0</v>
      </c>
      <c r="I2018" s="2" t="str">
        <f>IFERROR(__xludf.DUMMYFUNCTION("INDEX(SPLIT(A2018, ""/""), 0, 2)"),"regex")</f>
        <v>regex</v>
      </c>
      <c r="J2018" s="2" t="b">
        <f t="shared" si="1"/>
        <v>0</v>
      </c>
    </row>
    <row r="2019">
      <c r="A2019" s="1" t="s">
        <v>1373</v>
      </c>
      <c r="B2019" s="3">
        <v>42.0</v>
      </c>
      <c r="C2019" s="3">
        <v>60.0</v>
      </c>
      <c r="D2019" s="3">
        <v>0.0</v>
      </c>
      <c r="E2019" s="3">
        <v>0.0</v>
      </c>
      <c r="F2019" s="3">
        <v>0.0</v>
      </c>
      <c r="G2019" s="3">
        <v>0.0</v>
      </c>
      <c r="H2019" s="3">
        <v>0.0</v>
      </c>
      <c r="I2019" s="2" t="str">
        <f>IFERROR(__xludf.DUMMYFUNCTION("INDEX(SPLIT(A2019, ""/""), 0, 2)"),"regex")</f>
        <v>regex</v>
      </c>
      <c r="J2019" s="2" t="b">
        <f t="shared" si="1"/>
        <v>0</v>
      </c>
    </row>
    <row r="2020">
      <c r="A2020" s="1" t="s">
        <v>1374</v>
      </c>
      <c r="B2020" s="3">
        <v>3.0</v>
      </c>
      <c r="C2020" s="3">
        <v>60.0</v>
      </c>
      <c r="D2020" s="3">
        <v>0.0</v>
      </c>
      <c r="E2020" s="3">
        <v>0.0</v>
      </c>
      <c r="F2020" s="3">
        <v>0.0</v>
      </c>
      <c r="G2020" s="3">
        <v>0.0</v>
      </c>
      <c r="H2020" s="3">
        <v>0.0</v>
      </c>
      <c r="I2020" s="2" t="str">
        <f>IFERROR(__xludf.DUMMYFUNCTION("INDEX(SPLIT(A2020, ""/""), 0, 2)"),"regex")</f>
        <v>regex</v>
      </c>
      <c r="J2020" s="2" t="b">
        <f t="shared" si="1"/>
        <v>0</v>
      </c>
    </row>
    <row r="2021">
      <c r="A2021" s="1" t="s">
        <v>1375</v>
      </c>
      <c r="B2021" s="3">
        <v>3.0</v>
      </c>
      <c r="C2021" s="3">
        <v>60.0</v>
      </c>
      <c r="D2021" s="3">
        <v>0.0</v>
      </c>
      <c r="E2021" s="3">
        <v>0.0</v>
      </c>
      <c r="F2021" s="3">
        <v>0.0</v>
      </c>
      <c r="G2021" s="3">
        <v>0.0</v>
      </c>
      <c r="H2021" s="3">
        <v>0.0</v>
      </c>
      <c r="I2021" s="2" t="str">
        <f>IFERROR(__xludf.DUMMYFUNCTION("INDEX(SPLIT(A2021, ""/""), 0, 2)"),"regex")</f>
        <v>regex</v>
      </c>
      <c r="J2021" s="2" t="b">
        <f t="shared" si="1"/>
        <v>0</v>
      </c>
    </row>
    <row r="2022">
      <c r="A2022" s="1" t="s">
        <v>1376</v>
      </c>
      <c r="B2022" s="3">
        <v>37.0</v>
      </c>
      <c r="C2022" s="3">
        <v>60.0</v>
      </c>
      <c r="D2022" s="3">
        <v>0.0</v>
      </c>
      <c r="E2022" s="3">
        <v>0.0</v>
      </c>
      <c r="F2022" s="3">
        <v>0.0</v>
      </c>
      <c r="G2022" s="3">
        <v>0.0</v>
      </c>
      <c r="H2022" s="3">
        <v>0.0</v>
      </c>
      <c r="I2022" s="2" t="str">
        <f>IFERROR(__xludf.DUMMYFUNCTION("INDEX(SPLIT(A2022, ""/""), 0, 2)"),"regex")</f>
        <v>regex</v>
      </c>
      <c r="J2022" s="2" t="b">
        <f t="shared" si="1"/>
        <v>0</v>
      </c>
    </row>
    <row r="2023">
      <c r="A2023" s="1" t="s">
        <v>1377</v>
      </c>
      <c r="B2023" s="3">
        <v>49.0</v>
      </c>
      <c r="C2023" s="3">
        <v>60.0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2" t="str">
        <f>IFERROR(__xludf.DUMMYFUNCTION("INDEX(SPLIT(A2023, ""/""), 0, 2)"),"regex")</f>
        <v>regex</v>
      </c>
      <c r="J2023" s="2" t="b">
        <f t="shared" si="1"/>
        <v>0</v>
      </c>
    </row>
    <row r="2024">
      <c r="A2024" s="1" t="s">
        <v>1378</v>
      </c>
      <c r="B2024" s="3">
        <v>66.0</v>
      </c>
      <c r="C2024" s="3">
        <v>60.0</v>
      </c>
      <c r="D2024" s="3">
        <v>0.0</v>
      </c>
      <c r="E2024" s="3">
        <v>0.0</v>
      </c>
      <c r="F2024" s="3">
        <v>0.0</v>
      </c>
      <c r="G2024" s="3">
        <v>0.0</v>
      </c>
      <c r="H2024" s="3">
        <v>0.0</v>
      </c>
      <c r="I2024" s="2" t="str">
        <f>IFERROR(__xludf.DUMMYFUNCTION("INDEX(SPLIT(A2024, ""/""), 0, 2)"),"regex")</f>
        <v>regex</v>
      </c>
      <c r="J2024" s="2" t="b">
        <f t="shared" si="1"/>
        <v>0</v>
      </c>
    </row>
    <row r="2025">
      <c r="A2025" s="1" t="s">
        <v>1379</v>
      </c>
      <c r="B2025" s="3">
        <v>23.0</v>
      </c>
      <c r="C2025" s="3">
        <v>60.0</v>
      </c>
      <c r="D2025" s="3">
        <v>0.0</v>
      </c>
      <c r="E2025" s="3">
        <v>0.0</v>
      </c>
      <c r="F2025" s="3">
        <v>0.0</v>
      </c>
      <c r="G2025" s="3">
        <v>0.0</v>
      </c>
      <c r="H2025" s="3">
        <v>0.0</v>
      </c>
      <c r="I2025" s="2" t="str">
        <f>IFERROR(__xludf.DUMMYFUNCTION("INDEX(SPLIT(A2025, ""/""), 0, 2)"),"regex")</f>
        <v>regex</v>
      </c>
      <c r="J2025" s="2" t="b">
        <f t="shared" si="1"/>
        <v>0</v>
      </c>
    </row>
    <row r="2026">
      <c r="A2026" s="1" t="s">
        <v>1380</v>
      </c>
      <c r="B2026" s="3">
        <v>109.0</v>
      </c>
      <c r="C2026" s="3">
        <v>60.0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2" t="str">
        <f>IFERROR(__xludf.DUMMYFUNCTION("INDEX(SPLIT(A2026, ""/""), 0, 2)"),"regex")</f>
        <v>regex</v>
      </c>
      <c r="J2026" s="2" t="b">
        <f t="shared" si="1"/>
        <v>0</v>
      </c>
    </row>
    <row r="2027">
      <c r="A2027" s="1" t="s">
        <v>1381</v>
      </c>
      <c r="B2027" s="3">
        <v>6.0</v>
      </c>
      <c r="C2027" s="3">
        <v>60.0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2" t="str">
        <f>IFERROR(__xludf.DUMMYFUNCTION("INDEX(SPLIT(A2027, ""/""), 0, 2)"),"regex")</f>
        <v>regex</v>
      </c>
      <c r="J2027" s="2" t="b">
        <f t="shared" si="1"/>
        <v>0</v>
      </c>
    </row>
    <row r="2028">
      <c r="A2028" s="1" t="s">
        <v>1382</v>
      </c>
      <c r="B2028" s="3">
        <v>109.0</v>
      </c>
      <c r="C2028" s="3">
        <v>60.0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2" t="str">
        <f>IFERROR(__xludf.DUMMYFUNCTION("INDEX(SPLIT(A2028, ""/""), 0, 2)"),"regex")</f>
        <v>regex</v>
      </c>
      <c r="J2028" s="2" t="b">
        <f t="shared" si="1"/>
        <v>0</v>
      </c>
    </row>
    <row r="2029">
      <c r="A2029" s="1" t="s">
        <v>1383</v>
      </c>
      <c r="B2029" s="3">
        <v>20.0</v>
      </c>
      <c r="C2029" s="3">
        <v>60.0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2" t="str">
        <f>IFERROR(__xludf.DUMMYFUNCTION("INDEX(SPLIT(A2029, ""/""), 0, 2)"),"regex")</f>
        <v>regex</v>
      </c>
      <c r="J2029" s="2" t="b">
        <f t="shared" si="1"/>
        <v>0</v>
      </c>
    </row>
    <row r="2030">
      <c r="A2030" s="1" t="s">
        <v>1384</v>
      </c>
      <c r="B2030" s="3">
        <v>26.0</v>
      </c>
      <c r="C2030" s="3">
        <v>60.0</v>
      </c>
      <c r="D2030" s="3">
        <v>0.0</v>
      </c>
      <c r="E2030" s="3">
        <v>0.0</v>
      </c>
      <c r="F2030" s="3">
        <v>0.0</v>
      </c>
      <c r="G2030" s="3">
        <v>0.0</v>
      </c>
      <c r="H2030" s="3">
        <v>0.0</v>
      </c>
      <c r="I2030" s="2" t="str">
        <f>IFERROR(__xludf.DUMMYFUNCTION("INDEX(SPLIT(A2030, ""/""), 0, 2)"),"regex")</f>
        <v>regex</v>
      </c>
      <c r="J2030" s="2" t="b">
        <f t="shared" si="1"/>
        <v>0</v>
      </c>
    </row>
    <row r="2031">
      <c r="A2031" s="1" t="s">
        <v>1385</v>
      </c>
      <c r="B2031" s="3">
        <v>107.0</v>
      </c>
      <c r="C2031" s="3">
        <v>60.0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2" t="str">
        <f>IFERROR(__xludf.DUMMYFUNCTION("INDEX(SPLIT(A2031, ""/""), 0, 2)"),"regex")</f>
        <v>regex</v>
      </c>
      <c r="J2031" s="2" t="b">
        <f t="shared" si="1"/>
        <v>0</v>
      </c>
    </row>
    <row r="2032">
      <c r="A2032" s="1" t="s">
        <v>1386</v>
      </c>
      <c r="B2032" s="3">
        <v>86.0</v>
      </c>
      <c r="C2032" s="3">
        <v>60.0</v>
      </c>
      <c r="D2032" s="3">
        <v>0.0</v>
      </c>
      <c r="E2032" s="3">
        <v>0.0</v>
      </c>
      <c r="F2032" s="3">
        <v>0.0</v>
      </c>
      <c r="G2032" s="3">
        <v>0.0</v>
      </c>
      <c r="H2032" s="3">
        <v>0.0</v>
      </c>
      <c r="I2032" s="2" t="str">
        <f>IFERROR(__xludf.DUMMYFUNCTION("INDEX(SPLIT(A2032, ""/""), 0, 2)"),"regex")</f>
        <v>regex</v>
      </c>
      <c r="J2032" s="2" t="b">
        <f t="shared" si="1"/>
        <v>0</v>
      </c>
    </row>
    <row r="2033">
      <c r="A2033" s="1" t="s">
        <v>1387</v>
      </c>
      <c r="B2033" s="3">
        <v>41.0</v>
      </c>
      <c r="C2033" s="3">
        <v>60.0</v>
      </c>
      <c r="D2033" s="3">
        <v>0.0</v>
      </c>
      <c r="E2033" s="3">
        <v>0.0</v>
      </c>
      <c r="F2033" s="3">
        <v>0.0</v>
      </c>
      <c r="G2033" s="3">
        <v>0.0</v>
      </c>
      <c r="H2033" s="3">
        <v>0.0</v>
      </c>
      <c r="I2033" s="2" t="str">
        <f>IFERROR(__xludf.DUMMYFUNCTION("INDEX(SPLIT(A2033, ""/""), 0, 2)"),"regex")</f>
        <v>regex</v>
      </c>
      <c r="J2033" s="2" t="b">
        <f t="shared" si="1"/>
        <v>0</v>
      </c>
    </row>
    <row r="2034">
      <c r="A2034" s="1" t="s">
        <v>1388</v>
      </c>
      <c r="B2034" s="3">
        <v>13.0</v>
      </c>
      <c r="C2034" s="3">
        <v>60.0</v>
      </c>
      <c r="D2034" s="3">
        <v>0.0</v>
      </c>
      <c r="E2034" s="3">
        <v>0.0</v>
      </c>
      <c r="F2034" s="3">
        <v>0.0</v>
      </c>
      <c r="G2034" s="3">
        <v>0.0</v>
      </c>
      <c r="H2034" s="3">
        <v>0.0</v>
      </c>
      <c r="I2034" s="2" t="str">
        <f>IFERROR(__xludf.DUMMYFUNCTION("INDEX(SPLIT(A2034, ""/""), 0, 2)"),"regex")</f>
        <v>regex</v>
      </c>
      <c r="J2034" s="2" t="b">
        <f t="shared" si="1"/>
        <v>0</v>
      </c>
    </row>
    <row r="2035">
      <c r="A2035" s="1" t="s">
        <v>1389</v>
      </c>
      <c r="B2035" s="3">
        <v>20.0</v>
      </c>
      <c r="C2035" s="3">
        <v>60.0</v>
      </c>
      <c r="D2035" s="3">
        <v>0.0</v>
      </c>
      <c r="E2035" s="3">
        <v>0.0</v>
      </c>
      <c r="F2035" s="3">
        <v>0.0</v>
      </c>
      <c r="G2035" s="3">
        <v>0.0</v>
      </c>
      <c r="H2035" s="3">
        <v>0.0</v>
      </c>
      <c r="I2035" s="2" t="str">
        <f>IFERROR(__xludf.DUMMYFUNCTION("INDEX(SPLIT(A2035, ""/""), 0, 2)"),"regex")</f>
        <v>regex</v>
      </c>
      <c r="J2035" s="2" t="b">
        <f t="shared" si="1"/>
        <v>0</v>
      </c>
    </row>
    <row r="2036">
      <c r="A2036" s="1" t="s">
        <v>1390</v>
      </c>
      <c r="B2036" s="3">
        <v>35.0</v>
      </c>
      <c r="C2036" s="3">
        <v>60.0</v>
      </c>
      <c r="D2036" s="3">
        <v>0.0</v>
      </c>
      <c r="E2036" s="3">
        <v>0.0</v>
      </c>
      <c r="F2036" s="3">
        <v>0.0</v>
      </c>
      <c r="G2036" s="3">
        <v>0.0</v>
      </c>
      <c r="H2036" s="3">
        <v>0.0</v>
      </c>
      <c r="I2036" s="2" t="str">
        <f>IFERROR(__xludf.DUMMYFUNCTION("INDEX(SPLIT(A2036, ""/""), 0, 2)"),"regex")</f>
        <v>regex</v>
      </c>
      <c r="J2036" s="2" t="b">
        <f t="shared" si="1"/>
        <v>0</v>
      </c>
    </row>
    <row r="2037">
      <c r="A2037" s="1" t="s">
        <v>1391</v>
      </c>
      <c r="B2037" s="3">
        <v>23.0</v>
      </c>
      <c r="C2037" s="3">
        <v>60.0</v>
      </c>
      <c r="D2037" s="3">
        <v>0.0</v>
      </c>
      <c r="E2037" s="3">
        <v>0.0</v>
      </c>
      <c r="F2037" s="3">
        <v>0.0</v>
      </c>
      <c r="G2037" s="3">
        <v>0.0</v>
      </c>
      <c r="H2037" s="3">
        <v>0.0</v>
      </c>
      <c r="I2037" s="2" t="str">
        <f>IFERROR(__xludf.DUMMYFUNCTION("INDEX(SPLIT(A2037, ""/""), 0, 2)"),"regex")</f>
        <v>regex</v>
      </c>
      <c r="J2037" s="2" t="b">
        <f t="shared" si="1"/>
        <v>0</v>
      </c>
    </row>
    <row r="2038">
      <c r="A2038" s="1" t="s">
        <v>1392</v>
      </c>
      <c r="B2038" s="3">
        <v>3.0</v>
      </c>
      <c r="C2038" s="3">
        <v>60.0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2" t="str">
        <f>IFERROR(__xludf.DUMMYFUNCTION("INDEX(SPLIT(A2038, ""/""), 0, 2)"),"regex")</f>
        <v>regex</v>
      </c>
      <c r="J2038" s="2" t="b">
        <f t="shared" si="1"/>
        <v>0</v>
      </c>
    </row>
    <row r="2039">
      <c r="A2039" s="1" t="s">
        <v>1393</v>
      </c>
      <c r="B2039" s="3">
        <v>14.0</v>
      </c>
      <c r="C2039" s="3">
        <v>60.0</v>
      </c>
      <c r="D2039" s="3">
        <v>0.0</v>
      </c>
      <c r="E2039" s="3">
        <v>0.0</v>
      </c>
      <c r="F2039" s="3">
        <v>0.0</v>
      </c>
      <c r="G2039" s="3">
        <v>0.0</v>
      </c>
      <c r="H2039" s="3">
        <v>0.0</v>
      </c>
      <c r="I2039" s="2" t="str">
        <f>IFERROR(__xludf.DUMMYFUNCTION("INDEX(SPLIT(A2039, ""/""), 0, 2)"),"regex")</f>
        <v>regex</v>
      </c>
      <c r="J2039" s="2" t="b">
        <f t="shared" si="1"/>
        <v>0</v>
      </c>
    </row>
    <row r="2040">
      <c r="A2040" s="1" t="s">
        <v>1394</v>
      </c>
      <c r="B2040" s="3">
        <v>85.0</v>
      </c>
      <c r="C2040" s="3">
        <v>60.0</v>
      </c>
      <c r="D2040" s="3">
        <v>0.0</v>
      </c>
      <c r="E2040" s="3">
        <v>0.0</v>
      </c>
      <c r="F2040" s="3">
        <v>0.0</v>
      </c>
      <c r="G2040" s="3">
        <v>0.0</v>
      </c>
      <c r="H2040" s="3">
        <v>0.0</v>
      </c>
      <c r="I2040" s="2" t="str">
        <f>IFERROR(__xludf.DUMMYFUNCTION("INDEX(SPLIT(A2040, ""/""), 0, 2)"),"regex")</f>
        <v>regex</v>
      </c>
      <c r="J2040" s="2" t="b">
        <f t="shared" si="1"/>
        <v>0</v>
      </c>
    </row>
    <row r="2041">
      <c r="A2041" s="1" t="s">
        <v>1395</v>
      </c>
      <c r="B2041" s="3">
        <v>162.0</v>
      </c>
      <c r="C2041" s="3">
        <v>60.0</v>
      </c>
      <c r="D2041" s="3">
        <v>0.0</v>
      </c>
      <c r="E2041" s="3">
        <v>0.0</v>
      </c>
      <c r="F2041" s="3">
        <v>0.0</v>
      </c>
      <c r="G2041" s="3">
        <v>0.0</v>
      </c>
      <c r="H2041" s="3">
        <v>0.0</v>
      </c>
      <c r="I2041" s="2" t="str">
        <f>IFERROR(__xludf.DUMMYFUNCTION("INDEX(SPLIT(A2041, ""/""), 0, 2)"),"regex")</f>
        <v>regex</v>
      </c>
      <c r="J2041" s="2" t="b">
        <f t="shared" si="1"/>
        <v>0</v>
      </c>
    </row>
    <row r="2042">
      <c r="A2042" s="1" t="s">
        <v>1396</v>
      </c>
      <c r="B2042" s="3">
        <v>29.0</v>
      </c>
      <c r="C2042" s="3">
        <v>60.0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2" t="str">
        <f>IFERROR(__xludf.DUMMYFUNCTION("INDEX(SPLIT(A2042, ""/""), 0, 2)"),"regex")</f>
        <v>regex</v>
      </c>
      <c r="J2042" s="2" t="b">
        <f t="shared" si="1"/>
        <v>0</v>
      </c>
    </row>
    <row r="2043">
      <c r="A2043" s="1" t="s">
        <v>1397</v>
      </c>
      <c r="B2043" s="3">
        <v>32.0</v>
      </c>
      <c r="C2043" s="3">
        <v>60.0</v>
      </c>
      <c r="D2043" s="3">
        <v>0.0</v>
      </c>
      <c r="E2043" s="3">
        <v>0.0</v>
      </c>
      <c r="F2043" s="3">
        <v>0.0</v>
      </c>
      <c r="G2043" s="3">
        <v>0.0</v>
      </c>
      <c r="H2043" s="3">
        <v>0.0</v>
      </c>
      <c r="I2043" s="2" t="str">
        <f>IFERROR(__xludf.DUMMYFUNCTION("INDEX(SPLIT(A2043, ""/""), 0, 2)"),"regex")</f>
        <v>regex</v>
      </c>
      <c r="J2043" s="2" t="b">
        <f t="shared" si="1"/>
        <v>0</v>
      </c>
    </row>
    <row r="2044">
      <c r="A2044" s="1" t="s">
        <v>1398</v>
      </c>
      <c r="B2044" s="3">
        <v>15.0</v>
      </c>
      <c r="C2044" s="3">
        <v>60.0</v>
      </c>
      <c r="D2044" s="3">
        <v>0.0</v>
      </c>
      <c r="E2044" s="3">
        <v>0.0</v>
      </c>
      <c r="F2044" s="3">
        <v>0.0</v>
      </c>
      <c r="G2044" s="3">
        <v>0.0</v>
      </c>
      <c r="H2044" s="3">
        <v>0.0</v>
      </c>
      <c r="I2044" s="2" t="str">
        <f>IFERROR(__xludf.DUMMYFUNCTION("INDEX(SPLIT(A2044, ""/""), 0, 2)"),"regex")</f>
        <v>regex</v>
      </c>
      <c r="J2044" s="2" t="b">
        <f t="shared" si="1"/>
        <v>0</v>
      </c>
    </row>
    <row r="2045">
      <c r="A2045" s="1" t="s">
        <v>1399</v>
      </c>
      <c r="B2045" s="3">
        <v>90.0</v>
      </c>
      <c r="C2045" s="3">
        <v>60.0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2" t="str">
        <f>IFERROR(__xludf.DUMMYFUNCTION("INDEX(SPLIT(A2045, ""/""), 0, 2)"),"regex")</f>
        <v>regex</v>
      </c>
      <c r="J2045" s="2" t="b">
        <f t="shared" si="1"/>
        <v>0</v>
      </c>
    </row>
    <row r="2046">
      <c r="A2046" s="1" t="s">
        <v>1400</v>
      </c>
      <c r="B2046" s="3">
        <v>18.0</v>
      </c>
      <c r="C2046" s="3">
        <v>60.0</v>
      </c>
      <c r="D2046" s="3">
        <v>0.0</v>
      </c>
      <c r="E2046" s="3">
        <v>0.0</v>
      </c>
      <c r="F2046" s="3">
        <v>0.0</v>
      </c>
      <c r="G2046" s="3">
        <v>0.0</v>
      </c>
      <c r="H2046" s="3">
        <v>0.0</v>
      </c>
      <c r="I2046" s="2" t="str">
        <f>IFERROR(__xludf.DUMMYFUNCTION("INDEX(SPLIT(A2046, ""/""), 0, 2)"),"regex")</f>
        <v>regex</v>
      </c>
      <c r="J2046" s="2" t="b">
        <f t="shared" si="1"/>
        <v>0</v>
      </c>
    </row>
    <row r="2047">
      <c r="A2047" s="1" t="s">
        <v>1401</v>
      </c>
      <c r="B2047" s="3">
        <v>92.0</v>
      </c>
      <c r="C2047" s="3">
        <v>60.0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2" t="str">
        <f>IFERROR(__xludf.DUMMYFUNCTION("INDEX(SPLIT(A2047, ""/""), 0, 2)"),"regex")</f>
        <v>regex</v>
      </c>
      <c r="J2047" s="2" t="b">
        <f t="shared" si="1"/>
        <v>0</v>
      </c>
    </row>
    <row r="2048">
      <c r="A2048" s="1" t="s">
        <v>1402</v>
      </c>
      <c r="B2048" s="3">
        <v>11.0</v>
      </c>
      <c r="C2048" s="3">
        <v>60.0</v>
      </c>
      <c r="D2048" s="3">
        <v>0.0</v>
      </c>
      <c r="E2048" s="3">
        <v>0.0</v>
      </c>
      <c r="F2048" s="3">
        <v>0.0</v>
      </c>
      <c r="G2048" s="3">
        <v>0.0</v>
      </c>
      <c r="H2048" s="3">
        <v>0.0</v>
      </c>
      <c r="I2048" s="2" t="str">
        <f>IFERROR(__xludf.DUMMYFUNCTION("INDEX(SPLIT(A2048, ""/""), 0, 2)"),"regex")</f>
        <v>regex</v>
      </c>
      <c r="J2048" s="2" t="b">
        <f t="shared" si="1"/>
        <v>0</v>
      </c>
    </row>
    <row r="2049">
      <c r="A2049" s="1" t="s">
        <v>1403</v>
      </c>
      <c r="B2049" s="3">
        <v>22.0</v>
      </c>
      <c r="C2049" s="3">
        <v>60.0</v>
      </c>
      <c r="D2049" s="3">
        <v>0.0</v>
      </c>
      <c r="E2049" s="3">
        <v>0.0</v>
      </c>
      <c r="F2049" s="3">
        <v>0.0</v>
      </c>
      <c r="G2049" s="3">
        <v>0.0</v>
      </c>
      <c r="H2049" s="3">
        <v>0.0</v>
      </c>
      <c r="I2049" s="2" t="str">
        <f>IFERROR(__xludf.DUMMYFUNCTION("INDEX(SPLIT(A2049, ""/""), 0, 2)"),"regex")</f>
        <v>regex</v>
      </c>
      <c r="J2049" s="2" t="b">
        <f t="shared" si="1"/>
        <v>0</v>
      </c>
    </row>
    <row r="2050">
      <c r="A2050" s="1" t="s">
        <v>1404</v>
      </c>
      <c r="B2050" s="3">
        <v>18.0</v>
      </c>
      <c r="C2050" s="3">
        <v>60.0</v>
      </c>
      <c r="D2050" s="3">
        <v>0.0</v>
      </c>
      <c r="E2050" s="3">
        <v>0.0</v>
      </c>
      <c r="F2050" s="3">
        <v>0.0</v>
      </c>
      <c r="G2050" s="3">
        <v>0.0</v>
      </c>
      <c r="H2050" s="3">
        <v>0.0</v>
      </c>
      <c r="I2050" s="2" t="str">
        <f>IFERROR(__xludf.DUMMYFUNCTION("INDEX(SPLIT(A2050, ""/""), 0, 2)"),"regex")</f>
        <v>regex</v>
      </c>
      <c r="J2050" s="2" t="b">
        <f t="shared" si="1"/>
        <v>0</v>
      </c>
    </row>
    <row r="2051">
      <c r="A2051" s="1" t="s">
        <v>1405</v>
      </c>
      <c r="B2051" s="3">
        <v>61.0</v>
      </c>
      <c r="C2051" s="3">
        <v>60.0</v>
      </c>
      <c r="D2051" s="3">
        <v>0.0</v>
      </c>
      <c r="E2051" s="3">
        <v>0.0</v>
      </c>
      <c r="F2051" s="3">
        <v>0.0</v>
      </c>
      <c r="G2051" s="3">
        <v>0.0</v>
      </c>
      <c r="H2051" s="3">
        <v>0.0</v>
      </c>
      <c r="I2051" s="2" t="str">
        <f>IFERROR(__xludf.DUMMYFUNCTION("INDEX(SPLIT(A2051, ""/""), 0, 2)"),"regex")</f>
        <v>regex</v>
      </c>
      <c r="J2051" s="2" t="b">
        <f t="shared" si="1"/>
        <v>0</v>
      </c>
    </row>
    <row r="2052">
      <c r="A2052" s="1" t="s">
        <v>1406</v>
      </c>
      <c r="B2052" s="3">
        <v>51.0</v>
      </c>
      <c r="C2052" s="3">
        <v>60.0</v>
      </c>
      <c r="D2052" s="3">
        <v>0.0</v>
      </c>
      <c r="E2052" s="3">
        <v>0.0</v>
      </c>
      <c r="F2052" s="3">
        <v>0.0</v>
      </c>
      <c r="G2052" s="3">
        <v>0.0</v>
      </c>
      <c r="H2052" s="3">
        <v>0.0</v>
      </c>
      <c r="I2052" s="2" t="str">
        <f>IFERROR(__xludf.DUMMYFUNCTION("INDEX(SPLIT(A2052, ""/""), 0, 2)"),"regex")</f>
        <v>regex</v>
      </c>
      <c r="J2052" s="2" t="b">
        <f t="shared" si="1"/>
        <v>0</v>
      </c>
    </row>
    <row r="2053">
      <c r="A2053" s="1" t="s">
        <v>1407</v>
      </c>
      <c r="B2053" s="3">
        <v>44.0</v>
      </c>
      <c r="C2053" s="3">
        <v>60.0</v>
      </c>
      <c r="D2053" s="3">
        <v>0.0</v>
      </c>
      <c r="E2053" s="3">
        <v>0.0</v>
      </c>
      <c r="F2053" s="3">
        <v>0.0</v>
      </c>
      <c r="G2053" s="3">
        <v>0.0</v>
      </c>
      <c r="H2053" s="3">
        <v>0.0</v>
      </c>
      <c r="I2053" s="2" t="str">
        <f>IFERROR(__xludf.DUMMYFUNCTION("INDEX(SPLIT(A2053, ""/""), 0, 2)"),"regex")</f>
        <v>regex</v>
      </c>
      <c r="J2053" s="2" t="b">
        <f t="shared" si="1"/>
        <v>0</v>
      </c>
    </row>
    <row r="2054">
      <c r="A2054" s="1" t="s">
        <v>1408</v>
      </c>
      <c r="B2054" s="3">
        <v>88.0</v>
      </c>
      <c r="C2054" s="3">
        <v>60.0</v>
      </c>
      <c r="D2054" s="3">
        <v>0.0</v>
      </c>
      <c r="E2054" s="3">
        <v>0.0</v>
      </c>
      <c r="F2054" s="3">
        <v>0.0</v>
      </c>
      <c r="G2054" s="3">
        <v>0.0</v>
      </c>
      <c r="H2054" s="3">
        <v>0.0</v>
      </c>
      <c r="I2054" s="2" t="str">
        <f>IFERROR(__xludf.DUMMYFUNCTION("INDEX(SPLIT(A2054, ""/""), 0, 2)"),"regex")</f>
        <v>regex</v>
      </c>
      <c r="J2054" s="2" t="b">
        <f t="shared" si="1"/>
        <v>0</v>
      </c>
    </row>
    <row r="2055">
      <c r="A2055" s="1" t="s">
        <v>1409</v>
      </c>
      <c r="B2055" s="3">
        <v>3.0</v>
      </c>
      <c r="C2055" s="3">
        <v>60.0</v>
      </c>
      <c r="D2055" s="3">
        <v>0.0</v>
      </c>
      <c r="E2055" s="3">
        <v>0.0</v>
      </c>
      <c r="F2055" s="3">
        <v>0.0</v>
      </c>
      <c r="G2055" s="3">
        <v>0.0</v>
      </c>
      <c r="H2055" s="3">
        <v>0.0</v>
      </c>
      <c r="I2055" s="2" t="str">
        <f>IFERROR(__xludf.DUMMYFUNCTION("INDEX(SPLIT(A2055, ""/""), 0, 2)"),"regex")</f>
        <v>regex</v>
      </c>
      <c r="J2055" s="2" t="b">
        <f t="shared" si="1"/>
        <v>0</v>
      </c>
    </row>
    <row r="2056">
      <c r="A2056" s="1" t="s">
        <v>1410</v>
      </c>
      <c r="B2056" s="3">
        <v>79.0</v>
      </c>
      <c r="C2056" s="3">
        <v>60.0</v>
      </c>
      <c r="D2056" s="3">
        <v>0.0</v>
      </c>
      <c r="E2056" s="3">
        <v>0.0</v>
      </c>
      <c r="F2056" s="3">
        <v>0.0</v>
      </c>
      <c r="G2056" s="3">
        <v>0.0</v>
      </c>
      <c r="H2056" s="3">
        <v>0.0</v>
      </c>
      <c r="I2056" s="2" t="str">
        <f>IFERROR(__xludf.DUMMYFUNCTION("INDEX(SPLIT(A2056, ""/""), 0, 2)"),"regex")</f>
        <v>regex</v>
      </c>
      <c r="J2056" s="2" t="b">
        <f t="shared" si="1"/>
        <v>0</v>
      </c>
    </row>
    <row r="2057">
      <c r="A2057" s="1" t="s">
        <v>1411</v>
      </c>
      <c r="B2057" s="3">
        <v>20.0</v>
      </c>
      <c r="C2057" s="3">
        <v>60.0</v>
      </c>
      <c r="D2057" s="3">
        <v>0.0</v>
      </c>
      <c r="E2057" s="3">
        <v>0.0</v>
      </c>
      <c r="F2057" s="3">
        <v>0.0</v>
      </c>
      <c r="G2057" s="3">
        <v>0.0</v>
      </c>
      <c r="H2057" s="3">
        <v>0.0</v>
      </c>
      <c r="I2057" s="2" t="str">
        <f>IFERROR(__xludf.DUMMYFUNCTION("INDEX(SPLIT(A2057, ""/""), 0, 2)"),"regex")</f>
        <v>regex</v>
      </c>
      <c r="J2057" s="2" t="b">
        <f t="shared" si="1"/>
        <v>0</v>
      </c>
    </row>
    <row r="2058">
      <c r="A2058" s="1" t="s">
        <v>1412</v>
      </c>
      <c r="B2058" s="3">
        <v>16.0</v>
      </c>
      <c r="C2058" s="3">
        <v>60.0</v>
      </c>
      <c r="D2058" s="3">
        <v>0.0</v>
      </c>
      <c r="E2058" s="3">
        <v>0.0</v>
      </c>
      <c r="F2058" s="3">
        <v>0.0</v>
      </c>
      <c r="G2058" s="3">
        <v>0.0</v>
      </c>
      <c r="H2058" s="3">
        <v>0.0</v>
      </c>
      <c r="I2058" s="2" t="str">
        <f>IFERROR(__xludf.DUMMYFUNCTION("INDEX(SPLIT(A2058, ""/""), 0, 2)"),"regex")</f>
        <v>regex</v>
      </c>
      <c r="J2058" s="2" t="b">
        <f t="shared" si="1"/>
        <v>0</v>
      </c>
    </row>
    <row r="2059">
      <c r="A2059" s="1" t="s">
        <v>1413</v>
      </c>
      <c r="B2059" s="3">
        <v>19.0</v>
      </c>
      <c r="C2059" s="3">
        <v>60.0</v>
      </c>
      <c r="D2059" s="3">
        <v>0.0</v>
      </c>
      <c r="E2059" s="3">
        <v>0.0</v>
      </c>
      <c r="F2059" s="3">
        <v>0.0</v>
      </c>
      <c r="G2059" s="3">
        <v>0.0</v>
      </c>
      <c r="H2059" s="3">
        <v>0.0</v>
      </c>
      <c r="I2059" s="2" t="str">
        <f>IFERROR(__xludf.DUMMYFUNCTION("INDEX(SPLIT(A2059, ""/""), 0, 2)"),"regex")</f>
        <v>regex</v>
      </c>
      <c r="J2059" s="2" t="b">
        <f t="shared" si="1"/>
        <v>0</v>
      </c>
    </row>
    <row r="2060">
      <c r="A2060" s="1" t="s">
        <v>1414</v>
      </c>
      <c r="B2060" s="3">
        <v>40.0</v>
      </c>
      <c r="C2060" s="3">
        <v>60.0</v>
      </c>
      <c r="D2060" s="3">
        <v>0.0</v>
      </c>
      <c r="E2060" s="3">
        <v>0.0</v>
      </c>
      <c r="F2060" s="3">
        <v>0.0</v>
      </c>
      <c r="G2060" s="3">
        <v>0.0</v>
      </c>
      <c r="H2060" s="3">
        <v>0.0</v>
      </c>
      <c r="I2060" s="2" t="str">
        <f>IFERROR(__xludf.DUMMYFUNCTION("INDEX(SPLIT(A2060, ""/""), 0, 2)"),"regex")</f>
        <v>regex</v>
      </c>
      <c r="J2060" s="2" t="b">
        <f t="shared" si="1"/>
        <v>0</v>
      </c>
    </row>
    <row r="2061">
      <c r="A2061" s="1" t="s">
        <v>1415</v>
      </c>
      <c r="B2061" s="3">
        <v>17.0</v>
      </c>
      <c r="C2061" s="3">
        <v>60.0</v>
      </c>
      <c r="D2061" s="3">
        <v>0.0</v>
      </c>
      <c r="E2061" s="3">
        <v>0.0</v>
      </c>
      <c r="F2061" s="3">
        <v>0.0</v>
      </c>
      <c r="G2061" s="3">
        <v>0.0</v>
      </c>
      <c r="H2061" s="3">
        <v>0.0</v>
      </c>
      <c r="I2061" s="2" t="str">
        <f>IFERROR(__xludf.DUMMYFUNCTION("INDEX(SPLIT(A2061, ""/""), 0, 2)"),"regex")</f>
        <v>regex</v>
      </c>
      <c r="J2061" s="2" t="b">
        <f t="shared" si="1"/>
        <v>0</v>
      </c>
    </row>
    <row r="2062">
      <c r="A2062" s="1" t="s">
        <v>1416</v>
      </c>
      <c r="B2062" s="3">
        <v>38.0</v>
      </c>
      <c r="C2062" s="3">
        <v>60.0</v>
      </c>
      <c r="D2062" s="3">
        <v>0.0</v>
      </c>
      <c r="E2062" s="3">
        <v>0.0</v>
      </c>
      <c r="F2062" s="3">
        <v>0.0</v>
      </c>
      <c r="G2062" s="3">
        <v>0.0</v>
      </c>
      <c r="H2062" s="3">
        <v>0.0</v>
      </c>
      <c r="I2062" s="2" t="str">
        <f>IFERROR(__xludf.DUMMYFUNCTION("INDEX(SPLIT(A2062, ""/""), 0, 2)"),"regex")</f>
        <v>regex</v>
      </c>
      <c r="J2062" s="2" t="b">
        <f t="shared" si="1"/>
        <v>0</v>
      </c>
    </row>
    <row r="2063">
      <c r="A2063" s="1" t="s">
        <v>1417</v>
      </c>
      <c r="B2063" s="3">
        <v>21.0</v>
      </c>
      <c r="C2063" s="3">
        <v>60.0</v>
      </c>
      <c r="D2063" s="3">
        <v>0.0</v>
      </c>
      <c r="E2063" s="3">
        <v>0.0</v>
      </c>
      <c r="F2063" s="3">
        <v>0.0</v>
      </c>
      <c r="G2063" s="3">
        <v>0.0</v>
      </c>
      <c r="H2063" s="3">
        <v>0.0</v>
      </c>
      <c r="I2063" s="2" t="str">
        <f>IFERROR(__xludf.DUMMYFUNCTION("INDEX(SPLIT(A2063, ""/""), 0, 2)"),"regex")</f>
        <v>regex</v>
      </c>
      <c r="J2063" s="2" t="b">
        <f t="shared" si="1"/>
        <v>0</v>
      </c>
    </row>
    <row r="2064">
      <c r="A2064" s="1" t="s">
        <v>1418</v>
      </c>
      <c r="B2064" s="3">
        <v>38.0</v>
      </c>
      <c r="C2064" s="3">
        <v>60.0</v>
      </c>
      <c r="D2064" s="3">
        <v>0.0</v>
      </c>
      <c r="E2064" s="3">
        <v>0.0</v>
      </c>
      <c r="F2064" s="3">
        <v>0.0</v>
      </c>
      <c r="G2064" s="3">
        <v>0.0</v>
      </c>
      <c r="H2064" s="3">
        <v>0.0</v>
      </c>
      <c r="I2064" s="2" t="str">
        <f>IFERROR(__xludf.DUMMYFUNCTION("INDEX(SPLIT(A2064, ""/""), 0, 2)"),"regex")</f>
        <v>regex</v>
      </c>
      <c r="J2064" s="2" t="b">
        <f t="shared" si="1"/>
        <v>0</v>
      </c>
    </row>
    <row r="2065">
      <c r="A2065" s="1" t="s">
        <v>1419</v>
      </c>
      <c r="B2065" s="3">
        <v>18.0</v>
      </c>
      <c r="C2065" s="3">
        <v>60.0</v>
      </c>
      <c r="D2065" s="3">
        <v>0.0</v>
      </c>
      <c r="E2065" s="3">
        <v>0.0</v>
      </c>
      <c r="F2065" s="3">
        <v>0.0</v>
      </c>
      <c r="G2065" s="3">
        <v>0.0</v>
      </c>
      <c r="H2065" s="3">
        <v>0.0</v>
      </c>
      <c r="I2065" s="2" t="str">
        <f>IFERROR(__xludf.DUMMYFUNCTION("INDEX(SPLIT(A2065, ""/""), 0, 2)"),"regex")</f>
        <v>regex</v>
      </c>
      <c r="J2065" s="2" t="b">
        <f t="shared" si="1"/>
        <v>0</v>
      </c>
    </row>
    <row r="2066">
      <c r="A2066" s="1" t="s">
        <v>1420</v>
      </c>
      <c r="B2066" s="3">
        <v>108.0</v>
      </c>
      <c r="C2066" s="3">
        <v>60.0</v>
      </c>
      <c r="D2066" s="3">
        <v>0.0</v>
      </c>
      <c r="E2066" s="3">
        <v>0.0</v>
      </c>
      <c r="F2066" s="3">
        <v>0.0</v>
      </c>
      <c r="G2066" s="3">
        <v>0.0</v>
      </c>
      <c r="H2066" s="3">
        <v>0.0</v>
      </c>
      <c r="I2066" s="2" t="str">
        <f>IFERROR(__xludf.DUMMYFUNCTION("INDEX(SPLIT(A2066, ""/""), 0, 2)"),"regex")</f>
        <v>regex</v>
      </c>
      <c r="J2066" s="2" t="b">
        <f t="shared" si="1"/>
        <v>0</v>
      </c>
    </row>
    <row r="2067">
      <c r="A2067" s="1" t="s">
        <v>1421</v>
      </c>
      <c r="B2067" s="3">
        <v>15.0</v>
      </c>
      <c r="C2067" s="3">
        <v>60.0</v>
      </c>
      <c r="D2067" s="3">
        <v>0.0</v>
      </c>
      <c r="E2067" s="3">
        <v>0.0</v>
      </c>
      <c r="F2067" s="3">
        <v>0.0</v>
      </c>
      <c r="G2067" s="3">
        <v>0.0</v>
      </c>
      <c r="H2067" s="3">
        <v>0.0</v>
      </c>
      <c r="I2067" s="2" t="str">
        <f>IFERROR(__xludf.DUMMYFUNCTION("INDEX(SPLIT(A2067, ""/""), 0, 2)"),"regex")</f>
        <v>regex</v>
      </c>
      <c r="J2067" s="2" t="b">
        <f t="shared" si="1"/>
        <v>0</v>
      </c>
    </row>
    <row r="2068">
      <c r="A2068" s="1" t="s">
        <v>1422</v>
      </c>
      <c r="B2068" s="3">
        <v>68.0</v>
      </c>
      <c r="C2068" s="3">
        <v>60.0</v>
      </c>
      <c r="D2068" s="3">
        <v>0.0</v>
      </c>
      <c r="E2068" s="3">
        <v>0.0</v>
      </c>
      <c r="F2068" s="3">
        <v>0.0</v>
      </c>
      <c r="G2068" s="3">
        <v>0.0</v>
      </c>
      <c r="H2068" s="3">
        <v>0.0</v>
      </c>
      <c r="I2068" s="2" t="str">
        <f>IFERROR(__xludf.DUMMYFUNCTION("INDEX(SPLIT(A2068, ""/""), 0, 2)"),"regex")</f>
        <v>regex</v>
      </c>
      <c r="J2068" s="2" t="b">
        <f t="shared" si="1"/>
        <v>0</v>
      </c>
    </row>
    <row r="2069">
      <c r="A2069" s="1" t="s">
        <v>1423</v>
      </c>
      <c r="B2069" s="3">
        <v>14.0</v>
      </c>
      <c r="C2069" s="3">
        <v>60.0</v>
      </c>
      <c r="D2069" s="3">
        <v>0.0</v>
      </c>
      <c r="E2069" s="3">
        <v>0.0</v>
      </c>
      <c r="F2069" s="3">
        <v>0.0</v>
      </c>
      <c r="G2069" s="3">
        <v>0.0</v>
      </c>
      <c r="H2069" s="3">
        <v>0.0</v>
      </c>
      <c r="I2069" s="2" t="str">
        <f>IFERROR(__xludf.DUMMYFUNCTION("INDEX(SPLIT(A2069, ""/""), 0, 2)"),"regex")</f>
        <v>regex</v>
      </c>
      <c r="J2069" s="2" t="b">
        <f t="shared" si="1"/>
        <v>0</v>
      </c>
    </row>
    <row r="2070">
      <c r="A2070" s="1" t="s">
        <v>1424</v>
      </c>
      <c r="B2070" s="3">
        <v>19.0</v>
      </c>
      <c r="C2070" s="3">
        <v>60.0</v>
      </c>
      <c r="D2070" s="3">
        <v>0.0</v>
      </c>
      <c r="E2070" s="3">
        <v>0.0</v>
      </c>
      <c r="F2070" s="3">
        <v>0.0</v>
      </c>
      <c r="G2070" s="3">
        <v>0.0</v>
      </c>
      <c r="H2070" s="3">
        <v>0.0</v>
      </c>
      <c r="I2070" s="2" t="str">
        <f>IFERROR(__xludf.DUMMYFUNCTION("INDEX(SPLIT(A2070, ""/""), 0, 2)"),"regex")</f>
        <v>regex</v>
      </c>
      <c r="J2070" s="2" t="b">
        <f t="shared" si="1"/>
        <v>0</v>
      </c>
    </row>
    <row r="2071">
      <c r="A2071" s="1" t="s">
        <v>1425</v>
      </c>
      <c r="B2071" s="3">
        <v>129.0</v>
      </c>
      <c r="C2071" s="3">
        <v>60.0</v>
      </c>
      <c r="D2071" s="3">
        <v>0.0</v>
      </c>
      <c r="E2071" s="3">
        <v>0.0</v>
      </c>
      <c r="F2071" s="3">
        <v>0.0</v>
      </c>
      <c r="G2071" s="3">
        <v>0.0</v>
      </c>
      <c r="H2071" s="3">
        <v>0.0</v>
      </c>
      <c r="I2071" s="2" t="str">
        <f>IFERROR(__xludf.DUMMYFUNCTION("INDEX(SPLIT(A2071, ""/""), 0, 2)"),"regex")</f>
        <v>regex</v>
      </c>
      <c r="J2071" s="2" t="b">
        <f t="shared" si="1"/>
        <v>0</v>
      </c>
    </row>
    <row r="2072">
      <c r="A2072" s="1" t="s">
        <v>1426</v>
      </c>
      <c r="B2072" s="3">
        <v>10.0</v>
      </c>
      <c r="C2072" s="3">
        <v>60.0</v>
      </c>
      <c r="D2072" s="3">
        <v>0.0</v>
      </c>
      <c r="E2072" s="3">
        <v>0.0</v>
      </c>
      <c r="F2072" s="3">
        <v>0.0</v>
      </c>
      <c r="G2072" s="3">
        <v>0.0</v>
      </c>
      <c r="H2072" s="3">
        <v>0.0</v>
      </c>
      <c r="I2072" s="2" t="str">
        <f>IFERROR(__xludf.DUMMYFUNCTION("INDEX(SPLIT(A2072, ""/""), 0, 2)"),"regex")</f>
        <v>regex</v>
      </c>
      <c r="J2072" s="2" t="b">
        <f t="shared" si="1"/>
        <v>0</v>
      </c>
    </row>
    <row r="2073">
      <c r="A2073" s="1" t="s">
        <v>1427</v>
      </c>
      <c r="B2073" s="3">
        <v>12.0</v>
      </c>
      <c r="C2073" s="3">
        <v>60.0</v>
      </c>
      <c r="D2073" s="3">
        <v>0.0</v>
      </c>
      <c r="E2073" s="3">
        <v>0.0</v>
      </c>
      <c r="F2073" s="3">
        <v>0.0</v>
      </c>
      <c r="G2073" s="3">
        <v>0.0</v>
      </c>
      <c r="H2073" s="3">
        <v>0.0</v>
      </c>
      <c r="I2073" s="2" t="str">
        <f>IFERROR(__xludf.DUMMYFUNCTION("INDEX(SPLIT(A2073, ""/""), 0, 2)"),"regex")</f>
        <v>regex</v>
      </c>
      <c r="J2073" s="2" t="b">
        <f t="shared" si="1"/>
        <v>0</v>
      </c>
    </row>
    <row r="2074">
      <c r="A2074" s="1" t="s">
        <v>1428</v>
      </c>
      <c r="B2074" s="3">
        <v>35.0</v>
      </c>
      <c r="C2074" s="3">
        <v>60.0</v>
      </c>
      <c r="D2074" s="3">
        <v>0.0</v>
      </c>
      <c r="E2074" s="3">
        <v>0.0</v>
      </c>
      <c r="F2074" s="3">
        <v>0.0</v>
      </c>
      <c r="G2074" s="3">
        <v>0.0</v>
      </c>
      <c r="H2074" s="3">
        <v>0.0</v>
      </c>
      <c r="I2074" s="2" t="str">
        <f>IFERROR(__xludf.DUMMYFUNCTION("INDEX(SPLIT(A2074, ""/""), 0, 2)"),"regex")</f>
        <v>regex</v>
      </c>
      <c r="J2074" s="2" t="b">
        <f t="shared" si="1"/>
        <v>0</v>
      </c>
    </row>
    <row r="2075">
      <c r="A2075" s="1" t="s">
        <v>1429</v>
      </c>
      <c r="B2075" s="3">
        <v>18.0</v>
      </c>
      <c r="C2075" s="3">
        <v>60.0</v>
      </c>
      <c r="D2075" s="3">
        <v>0.0</v>
      </c>
      <c r="E2075" s="3">
        <v>0.0</v>
      </c>
      <c r="F2075" s="3">
        <v>0.0</v>
      </c>
      <c r="G2075" s="3">
        <v>0.0</v>
      </c>
      <c r="H2075" s="3">
        <v>0.0</v>
      </c>
      <c r="I2075" s="2" t="str">
        <f>IFERROR(__xludf.DUMMYFUNCTION("INDEX(SPLIT(A2075, ""/""), 0, 2)"),"regex")</f>
        <v>regex</v>
      </c>
      <c r="J2075" s="2" t="b">
        <f t="shared" si="1"/>
        <v>0</v>
      </c>
    </row>
    <row r="2076">
      <c r="A2076" s="1" t="s">
        <v>1430</v>
      </c>
      <c r="B2076" s="3">
        <v>34.0</v>
      </c>
      <c r="C2076" s="3">
        <v>60.0</v>
      </c>
      <c r="D2076" s="3">
        <v>0.0</v>
      </c>
      <c r="E2076" s="3">
        <v>0.0</v>
      </c>
      <c r="F2076" s="3">
        <v>0.0</v>
      </c>
      <c r="G2076" s="3">
        <v>0.0</v>
      </c>
      <c r="H2076" s="3">
        <v>0.0</v>
      </c>
      <c r="I2076" s="2" t="str">
        <f>IFERROR(__xludf.DUMMYFUNCTION("INDEX(SPLIT(A2076, ""/""), 0, 2)"),"regex")</f>
        <v>regex</v>
      </c>
      <c r="J2076" s="2" t="b">
        <f t="shared" si="1"/>
        <v>0</v>
      </c>
    </row>
    <row r="2077">
      <c r="A2077" s="1" t="s">
        <v>1431</v>
      </c>
      <c r="B2077" s="3">
        <v>2.0</v>
      </c>
      <c r="C2077" s="3">
        <v>60.0</v>
      </c>
      <c r="D2077" s="3">
        <v>0.0</v>
      </c>
      <c r="E2077" s="3">
        <v>0.0</v>
      </c>
      <c r="F2077" s="3">
        <v>0.0</v>
      </c>
      <c r="G2077" s="3">
        <v>0.0</v>
      </c>
      <c r="H2077" s="3">
        <v>0.0</v>
      </c>
      <c r="I2077" s="2" t="str">
        <f>IFERROR(__xludf.DUMMYFUNCTION("INDEX(SPLIT(A2077, ""/""), 0, 2)"),"regex")</f>
        <v>regex</v>
      </c>
      <c r="J2077" s="2" t="b">
        <f t="shared" si="1"/>
        <v>0</v>
      </c>
    </row>
    <row r="2078">
      <c r="A2078" s="1" t="s">
        <v>1432</v>
      </c>
      <c r="B2078" s="3">
        <v>86.0</v>
      </c>
      <c r="C2078" s="3">
        <v>60.0</v>
      </c>
      <c r="D2078" s="3">
        <v>0.0</v>
      </c>
      <c r="E2078" s="3">
        <v>0.0</v>
      </c>
      <c r="F2078" s="3">
        <v>0.0</v>
      </c>
      <c r="G2078" s="3">
        <v>0.0</v>
      </c>
      <c r="H2078" s="3">
        <v>0.0</v>
      </c>
      <c r="I2078" s="2" t="str">
        <f>IFERROR(__xludf.DUMMYFUNCTION("INDEX(SPLIT(A2078, ""/""), 0, 2)"),"regex")</f>
        <v>regex</v>
      </c>
      <c r="J2078" s="2" t="b">
        <f t="shared" si="1"/>
        <v>0</v>
      </c>
    </row>
    <row r="2079">
      <c r="A2079" s="1" t="s">
        <v>1433</v>
      </c>
      <c r="B2079" s="3">
        <v>45.0</v>
      </c>
      <c r="C2079" s="3">
        <v>60.0</v>
      </c>
      <c r="D2079" s="3">
        <v>0.0</v>
      </c>
      <c r="E2079" s="3">
        <v>0.0</v>
      </c>
      <c r="F2079" s="3">
        <v>0.0</v>
      </c>
      <c r="G2079" s="3">
        <v>0.0</v>
      </c>
      <c r="H2079" s="3">
        <v>0.0</v>
      </c>
      <c r="I2079" s="2" t="str">
        <f>IFERROR(__xludf.DUMMYFUNCTION("INDEX(SPLIT(A2079, ""/""), 0, 2)"),"regex")</f>
        <v>regex</v>
      </c>
      <c r="J2079" s="2" t="b">
        <f t="shared" si="1"/>
        <v>0</v>
      </c>
    </row>
    <row r="2080">
      <c r="A2080" s="1" t="s">
        <v>1434</v>
      </c>
      <c r="B2080" s="3">
        <v>5.0</v>
      </c>
      <c r="C2080" s="3">
        <v>60.0</v>
      </c>
      <c r="D2080" s="3">
        <v>0.0</v>
      </c>
      <c r="E2080" s="3">
        <v>0.0</v>
      </c>
      <c r="F2080" s="3">
        <v>0.0</v>
      </c>
      <c r="G2080" s="3">
        <v>0.0</v>
      </c>
      <c r="H2080" s="3">
        <v>0.0</v>
      </c>
      <c r="I2080" s="2" t="str">
        <f>IFERROR(__xludf.DUMMYFUNCTION("INDEX(SPLIT(A2080, ""/""), 0, 2)"),"regex")</f>
        <v>regex</v>
      </c>
      <c r="J2080" s="2" t="b">
        <f t="shared" si="1"/>
        <v>0</v>
      </c>
    </row>
    <row r="2081">
      <c r="A2081" s="1" t="s">
        <v>1435</v>
      </c>
      <c r="B2081" s="3">
        <v>10.0</v>
      </c>
      <c r="C2081" s="3">
        <v>60.0</v>
      </c>
      <c r="D2081" s="3">
        <v>0.0</v>
      </c>
      <c r="E2081" s="3">
        <v>0.0</v>
      </c>
      <c r="F2081" s="3">
        <v>0.0</v>
      </c>
      <c r="G2081" s="3">
        <v>0.0</v>
      </c>
      <c r="H2081" s="3">
        <v>0.0</v>
      </c>
      <c r="I2081" s="2" t="str">
        <f>IFERROR(__xludf.DUMMYFUNCTION("INDEX(SPLIT(A2081, ""/""), 0, 2)"),"regex")</f>
        <v>regex</v>
      </c>
      <c r="J2081" s="2" t="b">
        <f t="shared" si="1"/>
        <v>0</v>
      </c>
    </row>
    <row r="2082">
      <c r="A2082" s="1" t="s">
        <v>1436</v>
      </c>
      <c r="B2082" s="3">
        <v>15.0</v>
      </c>
      <c r="C2082" s="3">
        <v>60.0</v>
      </c>
      <c r="D2082" s="3">
        <v>0.0</v>
      </c>
      <c r="E2082" s="3">
        <v>0.0</v>
      </c>
      <c r="F2082" s="3">
        <v>0.0</v>
      </c>
      <c r="G2082" s="3">
        <v>0.0</v>
      </c>
      <c r="H2082" s="3">
        <v>0.0</v>
      </c>
      <c r="I2082" s="2" t="str">
        <f>IFERROR(__xludf.DUMMYFUNCTION("INDEX(SPLIT(A2082, ""/""), 0, 2)"),"regex")</f>
        <v>regex</v>
      </c>
      <c r="J2082" s="2" t="b">
        <f t="shared" si="1"/>
        <v>0</v>
      </c>
    </row>
    <row r="2083">
      <c r="A2083" s="1" t="s">
        <v>1437</v>
      </c>
      <c r="B2083" s="3">
        <v>45.0</v>
      </c>
      <c r="C2083" s="3">
        <v>60.0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2" t="str">
        <f>IFERROR(__xludf.DUMMYFUNCTION("INDEX(SPLIT(A2083, ""/""), 0, 2)"),"regex")</f>
        <v>regex</v>
      </c>
      <c r="J2083" s="2" t="b">
        <f t="shared" si="1"/>
        <v>0</v>
      </c>
    </row>
    <row r="2084">
      <c r="A2084" s="1" t="s">
        <v>1438</v>
      </c>
      <c r="B2084" s="3">
        <v>111.0</v>
      </c>
      <c r="C2084" s="3">
        <v>60.0</v>
      </c>
      <c r="D2084" s="3">
        <v>0.0</v>
      </c>
      <c r="E2084" s="3">
        <v>0.0</v>
      </c>
      <c r="F2084" s="3">
        <v>0.0</v>
      </c>
      <c r="G2084" s="3">
        <v>0.0</v>
      </c>
      <c r="H2084" s="3">
        <v>0.0</v>
      </c>
      <c r="I2084" s="2" t="str">
        <f>IFERROR(__xludf.DUMMYFUNCTION("INDEX(SPLIT(A2084, ""/""), 0, 2)"),"regex")</f>
        <v>regex</v>
      </c>
      <c r="J2084" s="2" t="b">
        <f t="shared" si="1"/>
        <v>0</v>
      </c>
    </row>
    <row r="2085">
      <c r="A2085" s="1" t="s">
        <v>1439</v>
      </c>
      <c r="B2085" s="3">
        <v>42.0</v>
      </c>
      <c r="C2085" s="3">
        <v>60.0</v>
      </c>
      <c r="D2085" s="3">
        <v>0.0</v>
      </c>
      <c r="E2085" s="3">
        <v>0.0</v>
      </c>
      <c r="F2085" s="3">
        <v>0.0</v>
      </c>
      <c r="G2085" s="3">
        <v>0.0</v>
      </c>
      <c r="H2085" s="3">
        <v>0.0</v>
      </c>
      <c r="I2085" s="2" t="str">
        <f>IFERROR(__xludf.DUMMYFUNCTION("INDEX(SPLIT(A2085, ""/""), 0, 2)"),"regex")</f>
        <v>regex</v>
      </c>
      <c r="J2085" s="2" t="b">
        <f t="shared" si="1"/>
        <v>0</v>
      </c>
    </row>
    <row r="2086">
      <c r="A2086" s="1" t="s">
        <v>1440</v>
      </c>
      <c r="B2086" s="3">
        <v>109.0</v>
      </c>
      <c r="C2086" s="3">
        <v>60.0</v>
      </c>
      <c r="D2086" s="3">
        <v>0.0</v>
      </c>
      <c r="E2086" s="3">
        <v>0.0</v>
      </c>
      <c r="F2086" s="3">
        <v>0.0</v>
      </c>
      <c r="G2086" s="3">
        <v>0.0</v>
      </c>
      <c r="H2086" s="3">
        <v>0.0</v>
      </c>
      <c r="I2086" s="2" t="str">
        <f>IFERROR(__xludf.DUMMYFUNCTION("INDEX(SPLIT(A2086, ""/""), 0, 2)"),"regex")</f>
        <v>regex</v>
      </c>
      <c r="J2086" s="2" t="b">
        <f t="shared" si="1"/>
        <v>0</v>
      </c>
    </row>
    <row r="2087">
      <c r="A2087" s="1" t="s">
        <v>1441</v>
      </c>
      <c r="B2087" s="3">
        <v>43.0</v>
      </c>
      <c r="C2087" s="3">
        <v>60.0</v>
      </c>
      <c r="D2087" s="3">
        <v>0.0</v>
      </c>
      <c r="E2087" s="3">
        <v>0.0</v>
      </c>
      <c r="F2087" s="3">
        <v>0.0</v>
      </c>
      <c r="G2087" s="3">
        <v>0.0</v>
      </c>
      <c r="H2087" s="3">
        <v>0.0</v>
      </c>
      <c r="I2087" s="2" t="str">
        <f>IFERROR(__xludf.DUMMYFUNCTION("INDEX(SPLIT(A2087, ""/""), 0, 2)"),"regex")</f>
        <v>regex</v>
      </c>
      <c r="J2087" s="2" t="b">
        <f t="shared" si="1"/>
        <v>0</v>
      </c>
    </row>
    <row r="2088">
      <c r="A2088" s="1" t="s">
        <v>1442</v>
      </c>
      <c r="B2088" s="3">
        <v>3.0</v>
      </c>
      <c r="C2088" s="3">
        <v>60.0</v>
      </c>
      <c r="D2088" s="3">
        <v>0.0</v>
      </c>
      <c r="E2088" s="3">
        <v>0.0</v>
      </c>
      <c r="F2088" s="3">
        <v>0.0</v>
      </c>
      <c r="G2088" s="3">
        <v>0.0</v>
      </c>
      <c r="H2088" s="3">
        <v>0.0</v>
      </c>
      <c r="I2088" s="2" t="str">
        <f>IFERROR(__xludf.DUMMYFUNCTION("INDEX(SPLIT(A2088, ""/""), 0, 2)"),"regex")</f>
        <v>regex</v>
      </c>
      <c r="J2088" s="2" t="b">
        <f t="shared" si="1"/>
        <v>0</v>
      </c>
    </row>
    <row r="2089">
      <c r="A2089" s="1" t="s">
        <v>1443</v>
      </c>
      <c r="B2089" s="3">
        <v>23.0</v>
      </c>
      <c r="C2089" s="3">
        <v>60.0</v>
      </c>
      <c r="D2089" s="3">
        <v>0.0</v>
      </c>
      <c r="E2089" s="3">
        <v>0.0</v>
      </c>
      <c r="F2089" s="3">
        <v>0.0</v>
      </c>
      <c r="G2089" s="3">
        <v>0.0</v>
      </c>
      <c r="H2089" s="3">
        <v>0.0</v>
      </c>
      <c r="I2089" s="2" t="str">
        <f>IFERROR(__xludf.DUMMYFUNCTION("INDEX(SPLIT(A2089, ""/""), 0, 2)"),"regex")</f>
        <v>regex</v>
      </c>
      <c r="J2089" s="2" t="b">
        <f t="shared" si="1"/>
        <v>0</v>
      </c>
    </row>
    <row r="2090">
      <c r="A2090" s="1" t="s">
        <v>1444</v>
      </c>
      <c r="B2090" s="3">
        <v>4.0</v>
      </c>
      <c r="C2090" s="3">
        <v>60.0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2" t="str">
        <f>IFERROR(__xludf.DUMMYFUNCTION("INDEX(SPLIT(A2090, ""/""), 0, 2)"),"regex")</f>
        <v>regex</v>
      </c>
      <c r="J2090" s="2" t="b">
        <f t="shared" si="1"/>
        <v>0</v>
      </c>
    </row>
    <row r="2091">
      <c r="A2091" s="1" t="s">
        <v>1445</v>
      </c>
      <c r="B2091" s="3">
        <v>52.0</v>
      </c>
      <c r="C2091" s="3">
        <v>60.0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2" t="str">
        <f>IFERROR(__xludf.DUMMYFUNCTION("INDEX(SPLIT(A2091, ""/""), 0, 2)"),"regex")</f>
        <v>regex</v>
      </c>
      <c r="J2091" s="2" t="b">
        <f t="shared" si="1"/>
        <v>0</v>
      </c>
    </row>
    <row r="2092">
      <c r="A2092" s="1" t="s">
        <v>1446</v>
      </c>
      <c r="B2092" s="3">
        <v>23.0</v>
      </c>
      <c r="C2092" s="3">
        <v>60.0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2" t="str">
        <f>IFERROR(__xludf.DUMMYFUNCTION("INDEX(SPLIT(A2092, ""/""), 0, 2)"),"regex")</f>
        <v>regex</v>
      </c>
      <c r="J2092" s="2" t="b">
        <f t="shared" si="1"/>
        <v>0</v>
      </c>
    </row>
    <row r="2093">
      <c r="A2093" s="1" t="s">
        <v>1447</v>
      </c>
      <c r="B2093" s="3">
        <v>70.0</v>
      </c>
      <c r="C2093" s="3">
        <v>60.0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2" t="str">
        <f>IFERROR(__xludf.DUMMYFUNCTION("INDEX(SPLIT(A2093, ""/""), 0, 2)"),"regex")</f>
        <v>regex</v>
      </c>
      <c r="J2093" s="2" t="b">
        <f t="shared" si="1"/>
        <v>0</v>
      </c>
    </row>
    <row r="2094">
      <c r="A2094" s="1" t="s">
        <v>1448</v>
      </c>
      <c r="B2094" s="3">
        <v>84.0</v>
      </c>
      <c r="C2094" s="3">
        <v>60.0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2" t="str">
        <f>IFERROR(__xludf.DUMMYFUNCTION("INDEX(SPLIT(A2094, ""/""), 0, 2)"),"regex")</f>
        <v>regex</v>
      </c>
      <c r="J2094" s="2" t="b">
        <f t="shared" si="1"/>
        <v>0</v>
      </c>
    </row>
    <row r="2095">
      <c r="A2095" s="1" t="s">
        <v>1449</v>
      </c>
      <c r="B2095" s="3">
        <v>14.0</v>
      </c>
      <c r="C2095" s="3">
        <v>60.0</v>
      </c>
      <c r="D2095" s="3">
        <v>0.0</v>
      </c>
      <c r="E2095" s="3">
        <v>0.0</v>
      </c>
      <c r="F2095" s="3">
        <v>0.0</v>
      </c>
      <c r="G2095" s="3">
        <v>0.0</v>
      </c>
      <c r="H2095" s="3">
        <v>0.0</v>
      </c>
      <c r="I2095" s="2" t="str">
        <f>IFERROR(__xludf.DUMMYFUNCTION("INDEX(SPLIT(A2095, ""/""), 0, 2)"),"regex")</f>
        <v>regex</v>
      </c>
      <c r="J2095" s="2" t="b">
        <f t="shared" si="1"/>
        <v>0</v>
      </c>
    </row>
    <row r="2096">
      <c r="A2096" s="1" t="s">
        <v>1450</v>
      </c>
      <c r="B2096" s="3">
        <v>30.0</v>
      </c>
      <c r="C2096" s="3">
        <v>60.0</v>
      </c>
      <c r="D2096" s="3">
        <v>0.0</v>
      </c>
      <c r="E2096" s="3">
        <v>0.0</v>
      </c>
      <c r="F2096" s="3">
        <v>0.0</v>
      </c>
      <c r="G2096" s="3">
        <v>0.0</v>
      </c>
      <c r="H2096" s="3">
        <v>0.0</v>
      </c>
      <c r="I2096" s="2" t="str">
        <f>IFERROR(__xludf.DUMMYFUNCTION("INDEX(SPLIT(A2096, ""/""), 0, 2)"),"regex")</f>
        <v>regex</v>
      </c>
      <c r="J2096" s="2" t="b">
        <f t="shared" si="1"/>
        <v>0</v>
      </c>
    </row>
    <row r="2097">
      <c r="A2097" s="1" t="s">
        <v>1451</v>
      </c>
      <c r="B2097" s="3">
        <v>23.0</v>
      </c>
      <c r="C2097" s="3">
        <v>60.0</v>
      </c>
      <c r="D2097" s="3">
        <v>0.0</v>
      </c>
      <c r="E2097" s="3">
        <v>0.0</v>
      </c>
      <c r="F2097" s="3">
        <v>0.0</v>
      </c>
      <c r="G2097" s="3">
        <v>0.0</v>
      </c>
      <c r="H2097" s="3">
        <v>0.0</v>
      </c>
      <c r="I2097" s="2" t="str">
        <f>IFERROR(__xludf.DUMMYFUNCTION("INDEX(SPLIT(A2097, ""/""), 0, 2)"),"regex")</f>
        <v>regex</v>
      </c>
      <c r="J2097" s="2" t="b">
        <f t="shared" si="1"/>
        <v>0</v>
      </c>
    </row>
    <row r="2098">
      <c r="A2098" s="1" t="s">
        <v>1452</v>
      </c>
      <c r="B2098" s="3">
        <v>42.0</v>
      </c>
      <c r="C2098" s="3">
        <v>60.0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2" t="str">
        <f>IFERROR(__xludf.DUMMYFUNCTION("INDEX(SPLIT(A2098, ""/""), 0, 2)"),"regex")</f>
        <v>regex</v>
      </c>
      <c r="J2098" s="2" t="b">
        <f t="shared" si="1"/>
        <v>0</v>
      </c>
    </row>
    <row r="2099">
      <c r="A2099" s="1" t="s">
        <v>1453</v>
      </c>
      <c r="B2099" s="3">
        <v>28.0</v>
      </c>
      <c r="C2099" s="3">
        <v>60.0</v>
      </c>
      <c r="D2099" s="3">
        <v>0.0</v>
      </c>
      <c r="E2099" s="3">
        <v>0.0</v>
      </c>
      <c r="F2099" s="3">
        <v>0.0</v>
      </c>
      <c r="G2099" s="3">
        <v>0.0</v>
      </c>
      <c r="H2099" s="3">
        <v>0.0</v>
      </c>
      <c r="I2099" s="2" t="str">
        <f>IFERROR(__xludf.DUMMYFUNCTION("INDEX(SPLIT(A2099, ""/""), 0, 2)"),"regex")</f>
        <v>regex</v>
      </c>
      <c r="J2099" s="2" t="b">
        <f t="shared" si="1"/>
        <v>0</v>
      </c>
    </row>
    <row r="2100">
      <c r="A2100" s="1" t="s">
        <v>1454</v>
      </c>
      <c r="B2100" s="3">
        <v>13.0</v>
      </c>
      <c r="C2100" s="3">
        <v>60.0</v>
      </c>
      <c r="D2100" s="3">
        <v>0.0</v>
      </c>
      <c r="E2100" s="3">
        <v>0.0</v>
      </c>
      <c r="F2100" s="3">
        <v>0.0</v>
      </c>
      <c r="G2100" s="3">
        <v>0.0</v>
      </c>
      <c r="H2100" s="3">
        <v>0.0</v>
      </c>
      <c r="I2100" s="2" t="str">
        <f>IFERROR(__xludf.DUMMYFUNCTION("INDEX(SPLIT(A2100, ""/""), 0, 2)"),"regex")</f>
        <v>regex</v>
      </c>
      <c r="J2100" s="2" t="b">
        <f t="shared" si="1"/>
        <v>0</v>
      </c>
    </row>
    <row r="2101">
      <c r="A2101" s="1" t="s">
        <v>1455</v>
      </c>
      <c r="B2101" s="3">
        <v>4.0</v>
      </c>
      <c r="C2101" s="3">
        <v>60.0</v>
      </c>
      <c r="D2101" s="3">
        <v>0.0</v>
      </c>
      <c r="E2101" s="3">
        <v>0.0</v>
      </c>
      <c r="F2101" s="3">
        <v>0.0</v>
      </c>
      <c r="G2101" s="3">
        <v>0.0</v>
      </c>
      <c r="H2101" s="3">
        <v>0.0</v>
      </c>
      <c r="I2101" s="2" t="str">
        <f>IFERROR(__xludf.DUMMYFUNCTION("INDEX(SPLIT(A2101, ""/""), 0, 2)"),"regex")</f>
        <v>regex</v>
      </c>
      <c r="J2101" s="2" t="b">
        <f t="shared" si="1"/>
        <v>0</v>
      </c>
    </row>
    <row r="2102">
      <c r="A2102" s="1" t="s">
        <v>1456</v>
      </c>
      <c r="B2102" s="3">
        <v>39.0</v>
      </c>
      <c r="C2102" s="3">
        <v>60.0</v>
      </c>
      <c r="D2102" s="3">
        <v>0.0</v>
      </c>
      <c r="E2102" s="3">
        <v>0.0</v>
      </c>
      <c r="F2102" s="3">
        <v>0.0</v>
      </c>
      <c r="G2102" s="3">
        <v>0.0</v>
      </c>
      <c r="H2102" s="3">
        <v>0.0</v>
      </c>
      <c r="I2102" s="2" t="str">
        <f>IFERROR(__xludf.DUMMYFUNCTION("INDEX(SPLIT(A2102, ""/""), 0, 2)"),"regex")</f>
        <v>regex</v>
      </c>
      <c r="J2102" s="2" t="b">
        <f t="shared" si="1"/>
        <v>0</v>
      </c>
    </row>
    <row r="2103">
      <c r="A2103" s="1" t="s">
        <v>1457</v>
      </c>
      <c r="B2103" s="3">
        <v>7.0</v>
      </c>
      <c r="C2103" s="3">
        <v>60.0</v>
      </c>
      <c r="D2103" s="3">
        <v>0.0</v>
      </c>
      <c r="E2103" s="3">
        <v>0.0</v>
      </c>
      <c r="F2103" s="3">
        <v>0.0</v>
      </c>
      <c r="G2103" s="3">
        <v>0.0</v>
      </c>
      <c r="H2103" s="3">
        <v>0.0</v>
      </c>
      <c r="I2103" s="2" t="str">
        <f>IFERROR(__xludf.DUMMYFUNCTION("INDEX(SPLIT(A2103, ""/""), 0, 2)"),"regex")</f>
        <v>regex</v>
      </c>
      <c r="J2103" s="2" t="b">
        <f t="shared" si="1"/>
        <v>0</v>
      </c>
    </row>
    <row r="2104">
      <c r="A2104" s="1" t="s">
        <v>1458</v>
      </c>
      <c r="B2104" s="3">
        <v>5.0</v>
      </c>
      <c r="C2104" s="3">
        <v>60.0</v>
      </c>
      <c r="D2104" s="3">
        <v>0.0</v>
      </c>
      <c r="E2104" s="3">
        <v>0.0</v>
      </c>
      <c r="F2104" s="3">
        <v>0.0</v>
      </c>
      <c r="G2104" s="3">
        <v>0.0</v>
      </c>
      <c r="H2104" s="3">
        <v>0.0</v>
      </c>
      <c r="I2104" s="2" t="str">
        <f>IFERROR(__xludf.DUMMYFUNCTION("INDEX(SPLIT(A2104, ""/""), 0, 2)"),"regex")</f>
        <v>regex</v>
      </c>
      <c r="J2104" s="2" t="b">
        <f t="shared" si="1"/>
        <v>0</v>
      </c>
    </row>
    <row r="2105">
      <c r="A2105" s="1" t="s">
        <v>1459</v>
      </c>
      <c r="B2105" s="3">
        <v>175.0</v>
      </c>
      <c r="C2105" s="3">
        <v>60.0</v>
      </c>
      <c r="D2105" s="3">
        <v>0.0</v>
      </c>
      <c r="E2105" s="3">
        <v>0.0</v>
      </c>
      <c r="F2105" s="3">
        <v>0.0</v>
      </c>
      <c r="G2105" s="3">
        <v>0.0</v>
      </c>
      <c r="H2105" s="3">
        <v>0.0</v>
      </c>
      <c r="I2105" s="2" t="str">
        <f>IFERROR(__xludf.DUMMYFUNCTION("INDEX(SPLIT(A2105, ""/""), 0, 2)"),"regex")</f>
        <v>regex</v>
      </c>
      <c r="J2105" s="2" t="b">
        <f t="shared" si="1"/>
        <v>0</v>
      </c>
    </row>
    <row r="2106">
      <c r="A2106" s="1" t="s">
        <v>1460</v>
      </c>
      <c r="B2106" s="3">
        <v>23.0</v>
      </c>
      <c r="C2106" s="3">
        <v>60.0</v>
      </c>
      <c r="D2106" s="3">
        <v>0.0</v>
      </c>
      <c r="E2106" s="3">
        <v>0.0</v>
      </c>
      <c r="F2106" s="3">
        <v>0.0</v>
      </c>
      <c r="G2106" s="3">
        <v>0.0</v>
      </c>
      <c r="H2106" s="3">
        <v>0.0</v>
      </c>
      <c r="I2106" s="2" t="str">
        <f>IFERROR(__xludf.DUMMYFUNCTION("INDEX(SPLIT(A2106, ""/""), 0, 2)"),"regex")</f>
        <v>regex</v>
      </c>
      <c r="J2106" s="2" t="b">
        <f t="shared" si="1"/>
        <v>0</v>
      </c>
    </row>
    <row r="2107">
      <c r="A2107" s="1" t="s">
        <v>1461</v>
      </c>
      <c r="B2107" s="3">
        <v>11.0</v>
      </c>
      <c r="C2107" s="3">
        <v>60.0</v>
      </c>
      <c r="D2107" s="3">
        <v>0.0</v>
      </c>
      <c r="E2107" s="3">
        <v>0.0</v>
      </c>
      <c r="F2107" s="3">
        <v>0.0</v>
      </c>
      <c r="G2107" s="3">
        <v>0.0</v>
      </c>
      <c r="H2107" s="3">
        <v>0.0</v>
      </c>
      <c r="I2107" s="2" t="str">
        <f>IFERROR(__xludf.DUMMYFUNCTION("INDEX(SPLIT(A2107, ""/""), 0, 2)"),"regex")</f>
        <v>regex</v>
      </c>
      <c r="J2107" s="2" t="b">
        <f t="shared" si="1"/>
        <v>0</v>
      </c>
    </row>
    <row r="2108">
      <c r="A2108" s="1" t="s">
        <v>1462</v>
      </c>
      <c r="B2108" s="3">
        <v>51.0</v>
      </c>
      <c r="C2108" s="3">
        <v>60.0</v>
      </c>
      <c r="D2108" s="3">
        <v>0.0</v>
      </c>
      <c r="E2108" s="3">
        <v>0.0</v>
      </c>
      <c r="F2108" s="3">
        <v>0.0</v>
      </c>
      <c r="G2108" s="3">
        <v>0.0</v>
      </c>
      <c r="H2108" s="3">
        <v>0.0</v>
      </c>
      <c r="I2108" s="2" t="str">
        <f>IFERROR(__xludf.DUMMYFUNCTION("INDEX(SPLIT(A2108, ""/""), 0, 2)"),"regex")</f>
        <v>regex</v>
      </c>
      <c r="J2108" s="2" t="b">
        <f t="shared" si="1"/>
        <v>0</v>
      </c>
    </row>
    <row r="2109">
      <c r="A2109" s="1" t="s">
        <v>1463</v>
      </c>
      <c r="B2109" s="3">
        <v>21.0</v>
      </c>
      <c r="C2109" s="3">
        <v>60.0</v>
      </c>
      <c r="D2109" s="3">
        <v>0.0</v>
      </c>
      <c r="E2109" s="3">
        <v>0.0</v>
      </c>
      <c r="F2109" s="3">
        <v>0.0</v>
      </c>
      <c r="G2109" s="3">
        <v>0.0</v>
      </c>
      <c r="H2109" s="3">
        <v>0.0</v>
      </c>
      <c r="I2109" s="2" t="str">
        <f>IFERROR(__xludf.DUMMYFUNCTION("INDEX(SPLIT(A2109, ""/""), 0, 2)"),"regex")</f>
        <v>regex</v>
      </c>
      <c r="J2109" s="2" t="b">
        <f t="shared" si="1"/>
        <v>0</v>
      </c>
    </row>
    <row r="2110">
      <c r="A2110" s="1" t="s">
        <v>1464</v>
      </c>
      <c r="B2110" s="3">
        <v>3.0</v>
      </c>
      <c r="C2110" s="3">
        <v>60.0</v>
      </c>
      <c r="D2110" s="3">
        <v>0.0</v>
      </c>
      <c r="E2110" s="3">
        <v>0.0</v>
      </c>
      <c r="F2110" s="3">
        <v>0.0</v>
      </c>
      <c r="G2110" s="3">
        <v>0.0</v>
      </c>
      <c r="H2110" s="3">
        <v>0.0</v>
      </c>
      <c r="I2110" s="2" t="str">
        <f>IFERROR(__xludf.DUMMYFUNCTION("INDEX(SPLIT(A2110, ""/""), 0, 2)"),"regex")</f>
        <v>regex</v>
      </c>
      <c r="J2110" s="2" t="b">
        <f t="shared" si="1"/>
        <v>0</v>
      </c>
    </row>
    <row r="2111">
      <c r="A2111" s="1" t="s">
        <v>1465</v>
      </c>
      <c r="B2111" s="3">
        <v>15.0</v>
      </c>
      <c r="C2111" s="3">
        <v>60.0</v>
      </c>
      <c r="D2111" s="3">
        <v>0.0</v>
      </c>
      <c r="E2111" s="3">
        <v>0.0</v>
      </c>
      <c r="F2111" s="3">
        <v>0.0</v>
      </c>
      <c r="G2111" s="3">
        <v>0.0</v>
      </c>
      <c r="H2111" s="3">
        <v>0.0</v>
      </c>
      <c r="I2111" s="2" t="str">
        <f>IFERROR(__xludf.DUMMYFUNCTION("INDEX(SPLIT(A2111, ""/""), 0, 2)"),"regex")</f>
        <v>regex</v>
      </c>
      <c r="J2111" s="2" t="b">
        <f t="shared" si="1"/>
        <v>0</v>
      </c>
    </row>
    <row r="2112">
      <c r="A2112" s="1" t="s">
        <v>1466</v>
      </c>
      <c r="B2112" s="3">
        <v>30.0</v>
      </c>
      <c r="C2112" s="3">
        <v>60.0</v>
      </c>
      <c r="D2112" s="3">
        <v>0.0</v>
      </c>
      <c r="E2112" s="3">
        <v>0.0</v>
      </c>
      <c r="F2112" s="3">
        <v>0.0</v>
      </c>
      <c r="G2112" s="3">
        <v>0.0</v>
      </c>
      <c r="H2112" s="3">
        <v>0.0</v>
      </c>
      <c r="I2112" s="2" t="str">
        <f>IFERROR(__xludf.DUMMYFUNCTION("INDEX(SPLIT(A2112, ""/""), 0, 2)"),"regex")</f>
        <v>regex</v>
      </c>
      <c r="J2112" s="2" t="b">
        <f t="shared" si="1"/>
        <v>0</v>
      </c>
    </row>
    <row r="2113">
      <c r="A2113" s="1" t="s">
        <v>1467</v>
      </c>
      <c r="B2113" s="3">
        <v>11.0</v>
      </c>
      <c r="C2113" s="3">
        <v>60.0</v>
      </c>
      <c r="D2113" s="3">
        <v>0.0</v>
      </c>
      <c r="E2113" s="3">
        <v>0.0</v>
      </c>
      <c r="F2113" s="3">
        <v>0.0</v>
      </c>
      <c r="G2113" s="3">
        <v>0.0</v>
      </c>
      <c r="H2113" s="3">
        <v>0.0</v>
      </c>
      <c r="I2113" s="2" t="str">
        <f>IFERROR(__xludf.DUMMYFUNCTION("INDEX(SPLIT(A2113, ""/""), 0, 2)"),"regex")</f>
        <v>regex</v>
      </c>
      <c r="J2113" s="2" t="b">
        <f t="shared" si="1"/>
        <v>0</v>
      </c>
    </row>
    <row r="2114">
      <c r="A2114" s="1" t="s">
        <v>1468</v>
      </c>
      <c r="B2114" s="3">
        <v>37.0</v>
      </c>
      <c r="C2114" s="3">
        <v>60.0</v>
      </c>
      <c r="D2114" s="3">
        <v>0.0</v>
      </c>
      <c r="E2114" s="3">
        <v>0.0</v>
      </c>
      <c r="F2114" s="3">
        <v>0.0</v>
      </c>
      <c r="G2114" s="3">
        <v>0.0</v>
      </c>
      <c r="H2114" s="3">
        <v>0.0</v>
      </c>
      <c r="I2114" s="2" t="str">
        <f>IFERROR(__xludf.DUMMYFUNCTION("INDEX(SPLIT(A2114, ""/""), 0, 2)"),"regex")</f>
        <v>regex</v>
      </c>
      <c r="J2114" s="2" t="b">
        <f t="shared" si="1"/>
        <v>0</v>
      </c>
    </row>
    <row r="2115">
      <c r="A2115" s="1" t="s">
        <v>1469</v>
      </c>
      <c r="B2115" s="3">
        <v>20.0</v>
      </c>
      <c r="C2115" s="3">
        <v>60.0</v>
      </c>
      <c r="D2115" s="3">
        <v>0.0</v>
      </c>
      <c r="E2115" s="3">
        <v>0.0</v>
      </c>
      <c r="F2115" s="3">
        <v>0.0</v>
      </c>
      <c r="G2115" s="3">
        <v>0.0</v>
      </c>
      <c r="H2115" s="3">
        <v>0.0</v>
      </c>
      <c r="I2115" s="2" t="str">
        <f>IFERROR(__xludf.DUMMYFUNCTION("INDEX(SPLIT(A2115, ""/""), 0, 2)"),"regex")</f>
        <v>regex</v>
      </c>
      <c r="J2115" s="2" t="b">
        <f t="shared" si="1"/>
        <v>0</v>
      </c>
    </row>
    <row r="2116">
      <c r="A2116" s="1" t="s">
        <v>1470</v>
      </c>
      <c r="B2116" s="3">
        <v>231.0</v>
      </c>
      <c r="C2116" s="3">
        <v>60.0</v>
      </c>
      <c r="D2116" s="3">
        <v>1.0</v>
      </c>
      <c r="E2116" s="3">
        <v>0.0</v>
      </c>
      <c r="F2116" s="3">
        <v>0.0</v>
      </c>
      <c r="G2116" s="3">
        <v>0.0</v>
      </c>
      <c r="H2116" s="3">
        <v>0.0</v>
      </c>
      <c r="I2116" s="2" t="str">
        <f>IFERROR(__xludf.DUMMYFUNCTION("INDEX(SPLIT(A2116, ""/""), 0, 2)"),"regex")</f>
        <v>regex</v>
      </c>
      <c r="J2116" s="2" t="b">
        <f t="shared" si="1"/>
        <v>0</v>
      </c>
    </row>
    <row r="2117">
      <c r="A2117" s="1" t="s">
        <v>1471</v>
      </c>
      <c r="B2117" s="3">
        <v>15.0</v>
      </c>
      <c r="C2117" s="3">
        <v>60.0</v>
      </c>
      <c r="D2117" s="3">
        <v>0.0</v>
      </c>
      <c r="E2117" s="3">
        <v>0.0</v>
      </c>
      <c r="F2117" s="3">
        <v>0.0</v>
      </c>
      <c r="G2117" s="3">
        <v>0.0</v>
      </c>
      <c r="H2117" s="3">
        <v>0.0</v>
      </c>
      <c r="I2117" s="2" t="str">
        <f>IFERROR(__xludf.DUMMYFUNCTION("INDEX(SPLIT(A2117, ""/""), 0, 2)"),"regex")</f>
        <v>regex</v>
      </c>
      <c r="J2117" s="2" t="b">
        <f t="shared" si="1"/>
        <v>0</v>
      </c>
    </row>
    <row r="2118">
      <c r="A2118" s="1" t="s">
        <v>1472</v>
      </c>
      <c r="B2118" s="3">
        <v>8.0</v>
      </c>
      <c r="C2118" s="3">
        <v>60.0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2" t="str">
        <f>IFERROR(__xludf.DUMMYFUNCTION("INDEX(SPLIT(A2118, ""/""), 0, 2)"),"regex")</f>
        <v>regex</v>
      </c>
      <c r="J2118" s="2" t="b">
        <f t="shared" si="1"/>
        <v>0</v>
      </c>
    </row>
    <row r="2119">
      <c r="A2119" s="1" t="s">
        <v>1473</v>
      </c>
      <c r="B2119" s="3">
        <v>16.0</v>
      </c>
      <c r="C2119" s="3">
        <v>60.0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2" t="str">
        <f>IFERROR(__xludf.DUMMYFUNCTION("INDEX(SPLIT(A2119, ""/""), 0, 2)"),"regex")</f>
        <v>regex</v>
      </c>
      <c r="J2119" s="2" t="b">
        <f t="shared" si="1"/>
        <v>0</v>
      </c>
    </row>
    <row r="2120">
      <c r="A2120" s="1" t="s">
        <v>1474</v>
      </c>
      <c r="B2120" s="3">
        <v>65.0</v>
      </c>
      <c r="C2120" s="3">
        <v>60.0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2" t="str">
        <f>IFERROR(__xludf.DUMMYFUNCTION("INDEX(SPLIT(A2120, ""/""), 0, 2)"),"regex")</f>
        <v>regex</v>
      </c>
      <c r="J2120" s="2" t="b">
        <f t="shared" si="1"/>
        <v>0</v>
      </c>
    </row>
    <row r="2121">
      <c r="A2121" s="1" t="s">
        <v>1475</v>
      </c>
      <c r="B2121" s="3">
        <v>766.0</v>
      </c>
      <c r="C2121" s="3">
        <v>60.0</v>
      </c>
      <c r="D2121" s="3">
        <v>0.0</v>
      </c>
      <c r="E2121" s="3">
        <v>0.0</v>
      </c>
      <c r="F2121" s="3">
        <v>0.0</v>
      </c>
      <c r="G2121" s="3">
        <v>0.0</v>
      </c>
      <c r="H2121" s="3">
        <v>0.0</v>
      </c>
      <c r="I2121" s="2" t="str">
        <f>IFERROR(__xludf.DUMMYFUNCTION("INDEX(SPLIT(A2121, ""/""), 0, 2)"),"regex")</f>
        <v>regex</v>
      </c>
      <c r="J2121" s="2" t="b">
        <f t="shared" si="1"/>
        <v>0</v>
      </c>
    </row>
    <row r="2122">
      <c r="A2122" s="1" t="s">
        <v>1476</v>
      </c>
      <c r="B2122" s="3">
        <v>10.0</v>
      </c>
      <c r="C2122" s="3">
        <v>60.0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2" t="str">
        <f>IFERROR(__xludf.DUMMYFUNCTION("INDEX(SPLIT(A2122, ""/""), 0, 2)"),"regex")</f>
        <v>regex</v>
      </c>
      <c r="J2122" s="2" t="b">
        <f t="shared" si="1"/>
        <v>0</v>
      </c>
    </row>
    <row r="2123">
      <c r="A2123" s="1" t="s">
        <v>1477</v>
      </c>
      <c r="B2123" s="3">
        <v>58.0</v>
      </c>
      <c r="C2123" s="3">
        <v>60.0</v>
      </c>
      <c r="D2123" s="3">
        <v>0.0</v>
      </c>
      <c r="E2123" s="3">
        <v>0.0</v>
      </c>
      <c r="F2123" s="3">
        <v>0.0</v>
      </c>
      <c r="G2123" s="3">
        <v>0.0</v>
      </c>
      <c r="H2123" s="3">
        <v>0.0</v>
      </c>
      <c r="I2123" s="2" t="str">
        <f>IFERROR(__xludf.DUMMYFUNCTION("INDEX(SPLIT(A2123, ""/""), 0, 2)"),"regex")</f>
        <v>regex</v>
      </c>
      <c r="J2123" s="2" t="b">
        <f t="shared" si="1"/>
        <v>0</v>
      </c>
    </row>
    <row r="2124">
      <c r="A2124" s="1" t="s">
        <v>1478</v>
      </c>
      <c r="B2124" s="3">
        <v>333.0</v>
      </c>
      <c r="C2124" s="3">
        <v>60.0</v>
      </c>
      <c r="D2124" s="3">
        <v>1.0</v>
      </c>
      <c r="E2124" s="3">
        <v>0.0</v>
      </c>
      <c r="F2124" s="3">
        <v>0.0</v>
      </c>
      <c r="G2124" s="3">
        <v>0.0</v>
      </c>
      <c r="H2124" s="3">
        <v>0.0</v>
      </c>
      <c r="I2124" s="2" t="str">
        <f>IFERROR(__xludf.DUMMYFUNCTION("INDEX(SPLIT(A2124, ""/""), 0, 2)"),"regex")</f>
        <v>regex</v>
      </c>
      <c r="J2124" s="2" t="b">
        <f t="shared" si="1"/>
        <v>0</v>
      </c>
    </row>
    <row r="2125">
      <c r="A2125" s="1" t="s">
        <v>1479</v>
      </c>
      <c r="B2125" s="3">
        <v>114.0</v>
      </c>
      <c r="C2125" s="3">
        <v>60.0</v>
      </c>
      <c r="D2125" s="3">
        <v>0.0</v>
      </c>
      <c r="E2125" s="3">
        <v>0.0</v>
      </c>
      <c r="F2125" s="3">
        <v>0.0</v>
      </c>
      <c r="G2125" s="3">
        <v>0.0</v>
      </c>
      <c r="H2125" s="3">
        <v>0.0</v>
      </c>
      <c r="I2125" s="2" t="str">
        <f>IFERROR(__xludf.DUMMYFUNCTION("INDEX(SPLIT(A2125, ""/""), 0, 2)"),"regex")</f>
        <v>regex</v>
      </c>
      <c r="J2125" s="2" t="b">
        <f t="shared" si="1"/>
        <v>0</v>
      </c>
    </row>
    <row r="2126">
      <c r="A2126" s="1" t="s">
        <v>1480</v>
      </c>
      <c r="B2126" s="3">
        <v>7.0</v>
      </c>
      <c r="C2126" s="3">
        <v>60.0</v>
      </c>
      <c r="D2126" s="3">
        <v>0.0</v>
      </c>
      <c r="E2126" s="3">
        <v>0.0</v>
      </c>
      <c r="F2126" s="3">
        <v>0.0</v>
      </c>
      <c r="G2126" s="3">
        <v>0.0</v>
      </c>
      <c r="H2126" s="3">
        <v>0.0</v>
      </c>
      <c r="I2126" s="2" t="str">
        <f>IFERROR(__xludf.DUMMYFUNCTION("INDEX(SPLIT(A2126, ""/""), 0, 2)"),"regex")</f>
        <v>regex</v>
      </c>
      <c r="J2126" s="2" t="b">
        <f t="shared" si="1"/>
        <v>0</v>
      </c>
    </row>
    <row r="2127">
      <c r="A2127" s="1" t="s">
        <v>1481</v>
      </c>
      <c r="B2127" s="3">
        <v>69.0</v>
      </c>
      <c r="C2127" s="3">
        <v>60.0</v>
      </c>
      <c r="D2127" s="3">
        <v>0.0</v>
      </c>
      <c r="E2127" s="3">
        <v>0.0</v>
      </c>
      <c r="F2127" s="3">
        <v>0.0</v>
      </c>
      <c r="G2127" s="3">
        <v>0.0</v>
      </c>
      <c r="H2127" s="3">
        <v>0.0</v>
      </c>
      <c r="I2127" s="2" t="str">
        <f>IFERROR(__xludf.DUMMYFUNCTION("INDEX(SPLIT(A2127, ""/""), 0, 2)"),"regex")</f>
        <v>regex</v>
      </c>
      <c r="J2127" s="2" t="b">
        <f t="shared" si="1"/>
        <v>0</v>
      </c>
    </row>
    <row r="2128">
      <c r="A2128" s="1" t="s">
        <v>1482</v>
      </c>
      <c r="B2128" s="3">
        <v>15.0</v>
      </c>
      <c r="C2128" s="3">
        <v>60.0</v>
      </c>
      <c r="D2128" s="3">
        <v>0.0</v>
      </c>
      <c r="E2128" s="3">
        <v>0.0</v>
      </c>
      <c r="F2128" s="3">
        <v>0.0</v>
      </c>
      <c r="G2128" s="3">
        <v>0.0</v>
      </c>
      <c r="H2128" s="3">
        <v>0.0</v>
      </c>
      <c r="I2128" s="2" t="str">
        <f>IFERROR(__xludf.DUMMYFUNCTION("INDEX(SPLIT(A2128, ""/""), 0, 2)"),"regex")</f>
        <v>regex</v>
      </c>
      <c r="J2128" s="2" t="b">
        <f t="shared" si="1"/>
        <v>0</v>
      </c>
    </row>
    <row r="2129">
      <c r="A2129" s="1" t="s">
        <v>1483</v>
      </c>
      <c r="B2129" s="3">
        <v>31.0</v>
      </c>
      <c r="C2129" s="3">
        <v>60.0</v>
      </c>
      <c r="D2129" s="3">
        <v>0.0</v>
      </c>
      <c r="E2129" s="3">
        <v>0.0</v>
      </c>
      <c r="F2129" s="3">
        <v>0.0</v>
      </c>
      <c r="G2129" s="3">
        <v>0.0</v>
      </c>
      <c r="H2129" s="3">
        <v>0.0</v>
      </c>
      <c r="I2129" s="2" t="str">
        <f>IFERROR(__xludf.DUMMYFUNCTION("INDEX(SPLIT(A2129, ""/""), 0, 2)"),"regex")</f>
        <v>regex</v>
      </c>
      <c r="J2129" s="2" t="b">
        <f t="shared" si="1"/>
        <v>0</v>
      </c>
    </row>
    <row r="2130">
      <c r="A2130" s="1" t="s">
        <v>1484</v>
      </c>
      <c r="B2130" s="3">
        <v>179.0</v>
      </c>
      <c r="C2130" s="3">
        <v>60.0</v>
      </c>
      <c r="D2130" s="3">
        <v>0.0</v>
      </c>
      <c r="E2130" s="3">
        <v>0.0</v>
      </c>
      <c r="F2130" s="3">
        <v>0.0</v>
      </c>
      <c r="G2130" s="3">
        <v>0.0</v>
      </c>
      <c r="H2130" s="3">
        <v>0.0</v>
      </c>
      <c r="I2130" s="2" t="str">
        <f>IFERROR(__xludf.DUMMYFUNCTION("INDEX(SPLIT(A2130, ""/""), 0, 2)"),"regex")</f>
        <v>regex</v>
      </c>
      <c r="J2130" s="2" t="b">
        <f t="shared" si="1"/>
        <v>0</v>
      </c>
    </row>
    <row r="2131">
      <c r="A2131" s="1" t="s">
        <v>1485</v>
      </c>
      <c r="B2131" s="3">
        <v>22.0</v>
      </c>
      <c r="C2131" s="3">
        <v>60.0</v>
      </c>
      <c r="D2131" s="3">
        <v>0.0</v>
      </c>
      <c r="E2131" s="3">
        <v>0.0</v>
      </c>
      <c r="F2131" s="3">
        <v>0.0</v>
      </c>
      <c r="G2131" s="3">
        <v>0.0</v>
      </c>
      <c r="H2131" s="3">
        <v>0.0</v>
      </c>
      <c r="I2131" s="2" t="str">
        <f>IFERROR(__xludf.DUMMYFUNCTION("INDEX(SPLIT(A2131, ""/""), 0, 2)"),"regex")</f>
        <v>regex</v>
      </c>
      <c r="J2131" s="2" t="b">
        <f t="shared" si="1"/>
        <v>0</v>
      </c>
    </row>
    <row r="2132">
      <c r="A2132" s="1" t="s">
        <v>1486</v>
      </c>
      <c r="B2132" s="3">
        <v>16.0</v>
      </c>
      <c r="C2132" s="3">
        <v>60.0</v>
      </c>
      <c r="D2132" s="3">
        <v>0.0</v>
      </c>
      <c r="E2132" s="3">
        <v>0.0</v>
      </c>
      <c r="F2132" s="3">
        <v>0.0</v>
      </c>
      <c r="G2132" s="3">
        <v>0.0</v>
      </c>
      <c r="H2132" s="3">
        <v>0.0</v>
      </c>
      <c r="I2132" s="2" t="str">
        <f>IFERROR(__xludf.DUMMYFUNCTION("INDEX(SPLIT(A2132, ""/""), 0, 2)"),"regex")</f>
        <v>regex</v>
      </c>
      <c r="J2132" s="2" t="b">
        <f t="shared" si="1"/>
        <v>0</v>
      </c>
    </row>
    <row r="2133">
      <c r="A2133" s="1" t="s">
        <v>1487</v>
      </c>
      <c r="B2133" s="3">
        <v>31.0</v>
      </c>
      <c r="C2133" s="3">
        <v>60.0</v>
      </c>
      <c r="D2133" s="3">
        <v>0.0</v>
      </c>
      <c r="E2133" s="3">
        <v>0.0</v>
      </c>
      <c r="F2133" s="3">
        <v>0.0</v>
      </c>
      <c r="G2133" s="3">
        <v>0.0</v>
      </c>
      <c r="H2133" s="3">
        <v>0.0</v>
      </c>
      <c r="I2133" s="2" t="str">
        <f>IFERROR(__xludf.DUMMYFUNCTION("INDEX(SPLIT(A2133, ""/""), 0, 2)"),"regex")</f>
        <v>regex</v>
      </c>
      <c r="J2133" s="2" t="b">
        <f t="shared" si="1"/>
        <v>0</v>
      </c>
    </row>
    <row r="2134">
      <c r="A2134" s="1" t="s">
        <v>1488</v>
      </c>
      <c r="B2134" s="3">
        <v>61.0</v>
      </c>
      <c r="C2134" s="3">
        <v>60.0</v>
      </c>
      <c r="D2134" s="3">
        <v>0.0</v>
      </c>
      <c r="E2134" s="3">
        <v>0.0</v>
      </c>
      <c r="F2134" s="3">
        <v>0.0</v>
      </c>
      <c r="G2134" s="3">
        <v>0.0</v>
      </c>
      <c r="H2134" s="3">
        <v>0.0</v>
      </c>
      <c r="I2134" s="2" t="str">
        <f>IFERROR(__xludf.DUMMYFUNCTION("INDEX(SPLIT(A2134, ""/""), 0, 2)"),"regex")</f>
        <v>regex</v>
      </c>
      <c r="J2134" s="2" t="b">
        <f t="shared" si="1"/>
        <v>0</v>
      </c>
    </row>
    <row r="2135">
      <c r="A2135" s="1" t="s">
        <v>1489</v>
      </c>
      <c r="B2135" s="3">
        <v>26.0</v>
      </c>
      <c r="C2135" s="3">
        <v>60.0</v>
      </c>
      <c r="D2135" s="3">
        <v>0.0</v>
      </c>
      <c r="E2135" s="3">
        <v>0.0</v>
      </c>
      <c r="F2135" s="3">
        <v>0.0</v>
      </c>
      <c r="G2135" s="3">
        <v>0.0</v>
      </c>
      <c r="H2135" s="3">
        <v>0.0</v>
      </c>
      <c r="I2135" s="2" t="str">
        <f>IFERROR(__xludf.DUMMYFUNCTION("INDEX(SPLIT(A2135, ""/""), 0, 2)"),"regex")</f>
        <v>regex</v>
      </c>
      <c r="J2135" s="2" t="b">
        <f t="shared" si="1"/>
        <v>0</v>
      </c>
    </row>
    <row r="2136">
      <c r="A2136" s="1" t="s">
        <v>1490</v>
      </c>
      <c r="B2136" s="3">
        <v>32.0</v>
      </c>
      <c r="C2136" s="3">
        <v>60.0</v>
      </c>
      <c r="D2136" s="3">
        <v>0.0</v>
      </c>
      <c r="E2136" s="3">
        <v>0.0</v>
      </c>
      <c r="F2136" s="3">
        <v>0.0</v>
      </c>
      <c r="G2136" s="3">
        <v>0.0</v>
      </c>
      <c r="H2136" s="3">
        <v>0.0</v>
      </c>
      <c r="I2136" s="2" t="str">
        <f>IFERROR(__xludf.DUMMYFUNCTION("INDEX(SPLIT(A2136, ""/""), 0, 2)"),"regex")</f>
        <v>regex</v>
      </c>
      <c r="J2136" s="2" t="b">
        <f t="shared" si="1"/>
        <v>0</v>
      </c>
    </row>
    <row r="2137">
      <c r="A2137" s="1" t="s">
        <v>1491</v>
      </c>
      <c r="B2137" s="3">
        <v>12.0</v>
      </c>
      <c r="C2137" s="3">
        <v>60.0</v>
      </c>
      <c r="D2137" s="3">
        <v>0.0</v>
      </c>
      <c r="E2137" s="3">
        <v>0.0</v>
      </c>
      <c r="F2137" s="3">
        <v>0.0</v>
      </c>
      <c r="G2137" s="3">
        <v>0.0</v>
      </c>
      <c r="H2137" s="3">
        <v>0.0</v>
      </c>
      <c r="I2137" s="2" t="str">
        <f>IFERROR(__xludf.DUMMYFUNCTION("INDEX(SPLIT(A2137, ""/""), 0, 2)"),"regex")</f>
        <v>regex</v>
      </c>
      <c r="J2137" s="2" t="b">
        <f t="shared" si="1"/>
        <v>0</v>
      </c>
    </row>
    <row r="2138">
      <c r="A2138" s="1" t="s">
        <v>1492</v>
      </c>
      <c r="B2138" s="3">
        <v>494.0</v>
      </c>
      <c r="C2138" s="3">
        <v>60.0</v>
      </c>
      <c r="D2138" s="3">
        <v>1.0</v>
      </c>
      <c r="E2138" s="3">
        <v>0.0</v>
      </c>
      <c r="F2138" s="3">
        <v>0.0</v>
      </c>
      <c r="G2138" s="3">
        <v>0.0</v>
      </c>
      <c r="H2138" s="3">
        <v>0.0</v>
      </c>
      <c r="I2138" s="2" t="str">
        <f>IFERROR(__xludf.DUMMYFUNCTION("INDEX(SPLIT(A2138, ""/""), 0, 2)"),"regex")</f>
        <v>regex</v>
      </c>
      <c r="J2138" s="2" t="b">
        <f t="shared" si="1"/>
        <v>0</v>
      </c>
    </row>
    <row r="2139">
      <c r="A2139" s="1" t="s">
        <v>1493</v>
      </c>
      <c r="B2139" s="3">
        <v>165.0</v>
      </c>
      <c r="C2139" s="3">
        <v>60.0</v>
      </c>
      <c r="D2139" s="3">
        <v>0.0</v>
      </c>
      <c r="E2139" s="3">
        <v>0.0</v>
      </c>
      <c r="F2139" s="3">
        <v>0.0</v>
      </c>
      <c r="G2139" s="3">
        <v>0.0</v>
      </c>
      <c r="H2139" s="3">
        <v>0.0</v>
      </c>
      <c r="I2139" s="2" t="str">
        <f>IFERROR(__xludf.DUMMYFUNCTION("INDEX(SPLIT(A2139, ""/""), 0, 2)"),"regex")</f>
        <v>regex</v>
      </c>
      <c r="J2139" s="2" t="b">
        <f t="shared" si="1"/>
        <v>0</v>
      </c>
    </row>
    <row r="2140">
      <c r="A2140" s="1" t="s">
        <v>1494</v>
      </c>
      <c r="B2140" s="3">
        <v>259.0</v>
      </c>
      <c r="C2140" s="3">
        <v>60.0</v>
      </c>
      <c r="D2140" s="3">
        <v>0.0</v>
      </c>
      <c r="E2140" s="3">
        <v>0.0</v>
      </c>
      <c r="F2140" s="3">
        <v>0.0</v>
      </c>
      <c r="G2140" s="3">
        <v>0.0</v>
      </c>
      <c r="H2140" s="3">
        <v>0.0</v>
      </c>
      <c r="I2140" s="2" t="str">
        <f>IFERROR(__xludf.DUMMYFUNCTION("INDEX(SPLIT(A2140, ""/""), 0, 2)"),"regex")</f>
        <v>regex</v>
      </c>
      <c r="J2140" s="2" t="b">
        <f t="shared" si="1"/>
        <v>0</v>
      </c>
    </row>
    <row r="2141">
      <c r="A2141" s="1" t="s">
        <v>1495</v>
      </c>
      <c r="B2141" s="3">
        <v>21.0</v>
      </c>
      <c r="C2141" s="3">
        <v>60.0</v>
      </c>
      <c r="D2141" s="3">
        <v>0.0</v>
      </c>
      <c r="E2141" s="3">
        <v>0.0</v>
      </c>
      <c r="F2141" s="3">
        <v>0.0</v>
      </c>
      <c r="G2141" s="3">
        <v>0.0</v>
      </c>
      <c r="H2141" s="3">
        <v>0.0</v>
      </c>
      <c r="I2141" s="2" t="str">
        <f>IFERROR(__xludf.DUMMYFUNCTION("INDEX(SPLIT(A2141, ""/""), 0, 2)"),"regex")</f>
        <v>regex</v>
      </c>
      <c r="J2141" s="2" t="b">
        <f t="shared" si="1"/>
        <v>0</v>
      </c>
    </row>
    <row r="2142">
      <c r="A2142" s="1" t="s">
        <v>1496</v>
      </c>
      <c r="B2142" s="3">
        <v>93.0</v>
      </c>
      <c r="C2142" s="3">
        <v>60.0</v>
      </c>
      <c r="D2142" s="3">
        <v>0.0</v>
      </c>
      <c r="E2142" s="3">
        <v>0.0</v>
      </c>
      <c r="F2142" s="3">
        <v>0.0</v>
      </c>
      <c r="G2142" s="3">
        <v>0.0</v>
      </c>
      <c r="H2142" s="3">
        <v>0.0</v>
      </c>
      <c r="I2142" s="2" t="str">
        <f>IFERROR(__xludf.DUMMYFUNCTION("INDEX(SPLIT(A2142, ""/""), 0, 2)"),"regex")</f>
        <v>regex</v>
      </c>
      <c r="J2142" s="2" t="b">
        <f t="shared" si="1"/>
        <v>0</v>
      </c>
    </row>
    <row r="2143">
      <c r="A2143" s="1" t="s">
        <v>1497</v>
      </c>
      <c r="B2143" s="3">
        <v>90.0</v>
      </c>
      <c r="C2143" s="3">
        <v>60.0</v>
      </c>
      <c r="D2143" s="3">
        <v>0.0</v>
      </c>
      <c r="E2143" s="3">
        <v>0.0</v>
      </c>
      <c r="F2143" s="3">
        <v>0.0</v>
      </c>
      <c r="G2143" s="3">
        <v>0.0</v>
      </c>
      <c r="H2143" s="3">
        <v>0.0</v>
      </c>
      <c r="I2143" s="2" t="str">
        <f>IFERROR(__xludf.DUMMYFUNCTION("INDEX(SPLIT(A2143, ""/""), 0, 2)"),"regex")</f>
        <v>regex</v>
      </c>
      <c r="J2143" s="2" t="b">
        <f t="shared" si="1"/>
        <v>0</v>
      </c>
    </row>
    <row r="2144">
      <c r="A2144" s="1" t="s">
        <v>1498</v>
      </c>
      <c r="B2144" s="3">
        <v>90.0</v>
      </c>
      <c r="C2144" s="3">
        <v>60.0</v>
      </c>
      <c r="D2144" s="3">
        <v>0.0</v>
      </c>
      <c r="E2144" s="3">
        <v>0.0</v>
      </c>
      <c r="F2144" s="3">
        <v>0.0</v>
      </c>
      <c r="G2144" s="3">
        <v>0.0</v>
      </c>
      <c r="H2144" s="3">
        <v>0.0</v>
      </c>
      <c r="I2144" s="2" t="str">
        <f>IFERROR(__xludf.DUMMYFUNCTION("INDEX(SPLIT(A2144, ""/""), 0, 2)"),"regex")</f>
        <v>regex</v>
      </c>
      <c r="J2144" s="2" t="b">
        <f t="shared" si="1"/>
        <v>0</v>
      </c>
    </row>
    <row r="2145">
      <c r="A2145" s="1" t="s">
        <v>1499</v>
      </c>
      <c r="B2145" s="3">
        <v>41.0</v>
      </c>
      <c r="C2145" s="3">
        <v>60.0</v>
      </c>
      <c r="D2145" s="3">
        <v>0.0</v>
      </c>
      <c r="E2145" s="3">
        <v>0.0</v>
      </c>
      <c r="F2145" s="3">
        <v>0.0</v>
      </c>
      <c r="G2145" s="3">
        <v>0.0</v>
      </c>
      <c r="H2145" s="3">
        <v>0.0</v>
      </c>
      <c r="I2145" s="2" t="str">
        <f>IFERROR(__xludf.DUMMYFUNCTION("INDEX(SPLIT(A2145, ""/""), 0, 2)"),"regex")</f>
        <v>regex</v>
      </c>
      <c r="J2145" s="2" t="b">
        <f t="shared" si="1"/>
        <v>0</v>
      </c>
    </row>
    <row r="2146">
      <c r="A2146" s="1" t="s">
        <v>1500</v>
      </c>
      <c r="B2146" s="3">
        <v>9.0</v>
      </c>
      <c r="C2146" s="3">
        <v>60.0</v>
      </c>
      <c r="D2146" s="3">
        <v>0.0</v>
      </c>
      <c r="E2146" s="3">
        <v>0.0</v>
      </c>
      <c r="F2146" s="3">
        <v>0.0</v>
      </c>
      <c r="G2146" s="3">
        <v>0.0</v>
      </c>
      <c r="H2146" s="3">
        <v>0.0</v>
      </c>
      <c r="I2146" s="2" t="str">
        <f>IFERROR(__xludf.DUMMYFUNCTION("INDEX(SPLIT(A2146, ""/""), 0, 2)"),"regex")</f>
        <v>regex</v>
      </c>
      <c r="J2146" s="2" t="b">
        <f t="shared" si="1"/>
        <v>0</v>
      </c>
    </row>
    <row r="2147">
      <c r="A2147" s="1" t="s">
        <v>1501</v>
      </c>
      <c r="B2147" s="3">
        <v>9.0</v>
      </c>
      <c r="C2147" s="3">
        <v>60.0</v>
      </c>
      <c r="D2147" s="3">
        <v>0.0</v>
      </c>
      <c r="E2147" s="3">
        <v>0.0</v>
      </c>
      <c r="F2147" s="3">
        <v>0.0</v>
      </c>
      <c r="G2147" s="3">
        <v>0.0</v>
      </c>
      <c r="H2147" s="3">
        <v>0.0</v>
      </c>
      <c r="I2147" s="2" t="str">
        <f>IFERROR(__xludf.DUMMYFUNCTION("INDEX(SPLIT(A2147, ""/""), 0, 2)"),"regex")</f>
        <v>regex</v>
      </c>
      <c r="J2147" s="2" t="b">
        <f t="shared" si="1"/>
        <v>0</v>
      </c>
    </row>
    <row r="2148">
      <c r="A2148" s="1" t="s">
        <v>1502</v>
      </c>
      <c r="B2148" s="3">
        <v>22.0</v>
      </c>
      <c r="C2148" s="3">
        <v>60.0</v>
      </c>
      <c r="D2148" s="3">
        <v>0.0</v>
      </c>
      <c r="E2148" s="3">
        <v>0.0</v>
      </c>
      <c r="F2148" s="3">
        <v>0.0</v>
      </c>
      <c r="G2148" s="3">
        <v>0.0</v>
      </c>
      <c r="H2148" s="3">
        <v>0.0</v>
      </c>
      <c r="I2148" s="2" t="str">
        <f>IFERROR(__xludf.DUMMYFUNCTION("INDEX(SPLIT(A2148, ""/""), 0, 2)"),"regex")</f>
        <v>regex</v>
      </c>
      <c r="J2148" s="2" t="b">
        <f t="shared" si="1"/>
        <v>0</v>
      </c>
    </row>
    <row r="2149">
      <c r="A2149" s="1" t="s">
        <v>1503</v>
      </c>
      <c r="B2149" s="3">
        <v>61.0</v>
      </c>
      <c r="C2149" s="3">
        <v>60.0</v>
      </c>
      <c r="D2149" s="3">
        <v>0.0</v>
      </c>
      <c r="E2149" s="3">
        <v>0.0</v>
      </c>
      <c r="F2149" s="3">
        <v>0.0</v>
      </c>
      <c r="G2149" s="3">
        <v>0.0</v>
      </c>
      <c r="H2149" s="3">
        <v>0.0</v>
      </c>
      <c r="I2149" s="2" t="str">
        <f>IFERROR(__xludf.DUMMYFUNCTION("INDEX(SPLIT(A2149, ""/""), 0, 2)"),"regex")</f>
        <v>regex</v>
      </c>
      <c r="J2149" s="2" t="b">
        <f t="shared" si="1"/>
        <v>0</v>
      </c>
    </row>
    <row r="2150">
      <c r="A2150" s="1" t="s">
        <v>1504</v>
      </c>
      <c r="B2150" s="3">
        <v>83.0</v>
      </c>
      <c r="C2150" s="3">
        <v>60.0</v>
      </c>
      <c r="D2150" s="3">
        <v>0.0</v>
      </c>
      <c r="E2150" s="3">
        <v>0.0</v>
      </c>
      <c r="F2150" s="3">
        <v>0.0</v>
      </c>
      <c r="G2150" s="3">
        <v>0.0</v>
      </c>
      <c r="H2150" s="3">
        <v>0.0</v>
      </c>
      <c r="I2150" s="2" t="str">
        <f>IFERROR(__xludf.DUMMYFUNCTION("INDEX(SPLIT(A2150, ""/""), 0, 2)"),"regex")</f>
        <v>regex</v>
      </c>
      <c r="J2150" s="2" t="b">
        <f t="shared" si="1"/>
        <v>0</v>
      </c>
    </row>
    <row r="2151">
      <c r="A2151" s="1" t="s">
        <v>1505</v>
      </c>
      <c r="B2151" s="3">
        <v>102.0</v>
      </c>
      <c r="C2151" s="3">
        <v>60.0</v>
      </c>
      <c r="D2151" s="3">
        <v>0.0</v>
      </c>
      <c r="E2151" s="3">
        <v>0.0</v>
      </c>
      <c r="F2151" s="3">
        <v>0.0</v>
      </c>
      <c r="G2151" s="3">
        <v>0.0</v>
      </c>
      <c r="H2151" s="3">
        <v>0.0</v>
      </c>
      <c r="I2151" s="2" t="str">
        <f>IFERROR(__xludf.DUMMYFUNCTION("INDEX(SPLIT(A2151, ""/""), 0, 2)"),"regex")</f>
        <v>regex</v>
      </c>
      <c r="J2151" s="2" t="b">
        <f t="shared" si="1"/>
        <v>0</v>
      </c>
    </row>
    <row r="2152">
      <c r="A2152" s="1" t="s">
        <v>1506</v>
      </c>
      <c r="B2152" s="3">
        <v>62.0</v>
      </c>
      <c r="C2152" s="3">
        <v>60.0</v>
      </c>
      <c r="D2152" s="3">
        <v>0.0</v>
      </c>
      <c r="E2152" s="3">
        <v>0.0</v>
      </c>
      <c r="F2152" s="3">
        <v>0.0</v>
      </c>
      <c r="G2152" s="3">
        <v>0.0</v>
      </c>
      <c r="H2152" s="3">
        <v>0.0</v>
      </c>
      <c r="I2152" s="2" t="str">
        <f>IFERROR(__xludf.DUMMYFUNCTION("INDEX(SPLIT(A2152, ""/""), 0, 2)"),"regex")</f>
        <v>regex</v>
      </c>
      <c r="J2152" s="2" t="b">
        <f t="shared" si="1"/>
        <v>0</v>
      </c>
    </row>
    <row r="2153">
      <c r="A2153" s="1" t="s">
        <v>1507</v>
      </c>
      <c r="B2153" s="3">
        <v>22.0</v>
      </c>
      <c r="C2153" s="3">
        <v>60.0</v>
      </c>
      <c r="D2153" s="3">
        <v>0.0</v>
      </c>
      <c r="E2153" s="3">
        <v>0.0</v>
      </c>
      <c r="F2153" s="3">
        <v>0.0</v>
      </c>
      <c r="G2153" s="3">
        <v>0.0</v>
      </c>
      <c r="H2153" s="3">
        <v>0.0</v>
      </c>
      <c r="I2153" s="2" t="str">
        <f>IFERROR(__xludf.DUMMYFUNCTION("INDEX(SPLIT(A2153, ""/""), 0, 2)"),"regex")</f>
        <v>regex</v>
      </c>
      <c r="J2153" s="2" t="b">
        <f t="shared" si="1"/>
        <v>0</v>
      </c>
    </row>
    <row r="2154">
      <c r="A2154" s="1" t="s">
        <v>1508</v>
      </c>
      <c r="B2154" s="3">
        <v>155.0</v>
      </c>
      <c r="C2154" s="3">
        <v>60.0</v>
      </c>
      <c r="D2154" s="3">
        <v>0.0</v>
      </c>
      <c r="E2154" s="3">
        <v>0.0</v>
      </c>
      <c r="F2154" s="3">
        <v>0.0</v>
      </c>
      <c r="G2154" s="3">
        <v>0.0</v>
      </c>
      <c r="H2154" s="3">
        <v>0.0</v>
      </c>
      <c r="I2154" s="2" t="str">
        <f>IFERROR(__xludf.DUMMYFUNCTION("INDEX(SPLIT(A2154, ""/""), 0, 2)"),"regex")</f>
        <v>regex</v>
      </c>
      <c r="J2154" s="2" t="b">
        <f t="shared" si="1"/>
        <v>0</v>
      </c>
    </row>
    <row r="2155">
      <c r="A2155" s="1" t="s">
        <v>1509</v>
      </c>
      <c r="B2155" s="3">
        <v>2.0</v>
      </c>
      <c r="C2155" s="3">
        <v>60.0</v>
      </c>
      <c r="D2155" s="3">
        <v>0.0</v>
      </c>
      <c r="E2155" s="3">
        <v>0.0</v>
      </c>
      <c r="F2155" s="3">
        <v>0.0</v>
      </c>
      <c r="G2155" s="3">
        <v>0.0</v>
      </c>
      <c r="H2155" s="3">
        <v>0.0</v>
      </c>
      <c r="I2155" s="2" t="str">
        <f>IFERROR(__xludf.DUMMYFUNCTION("INDEX(SPLIT(A2155, ""/""), 0, 2)"),"regex")</f>
        <v>regex</v>
      </c>
      <c r="J2155" s="2" t="b">
        <f t="shared" si="1"/>
        <v>0</v>
      </c>
    </row>
    <row r="2156">
      <c r="A2156" s="1" t="s">
        <v>1510</v>
      </c>
      <c r="B2156" s="3">
        <v>25.0</v>
      </c>
      <c r="C2156" s="3">
        <v>60.0</v>
      </c>
      <c r="D2156" s="3">
        <v>0.0</v>
      </c>
      <c r="E2156" s="3">
        <v>0.0</v>
      </c>
      <c r="F2156" s="3">
        <v>0.0</v>
      </c>
      <c r="G2156" s="3">
        <v>0.0</v>
      </c>
      <c r="H2156" s="3">
        <v>0.0</v>
      </c>
      <c r="I2156" s="2" t="str">
        <f>IFERROR(__xludf.DUMMYFUNCTION("INDEX(SPLIT(A2156, ""/""), 0, 2)"),"regex")</f>
        <v>regex</v>
      </c>
      <c r="J2156" s="2" t="b">
        <f t="shared" si="1"/>
        <v>0</v>
      </c>
    </row>
    <row r="2157">
      <c r="A2157" s="1" t="s">
        <v>1511</v>
      </c>
      <c r="B2157" s="3">
        <v>9.0</v>
      </c>
      <c r="C2157" s="3">
        <v>60.0</v>
      </c>
      <c r="D2157" s="3">
        <v>0.0</v>
      </c>
      <c r="E2157" s="3">
        <v>0.0</v>
      </c>
      <c r="F2157" s="3">
        <v>0.0</v>
      </c>
      <c r="G2157" s="3">
        <v>0.0</v>
      </c>
      <c r="H2157" s="3">
        <v>0.0</v>
      </c>
      <c r="I2157" s="2" t="str">
        <f>IFERROR(__xludf.DUMMYFUNCTION("INDEX(SPLIT(A2157, ""/""), 0, 2)"),"regex")</f>
        <v>regex</v>
      </c>
      <c r="J2157" s="2" t="b">
        <f t="shared" si="1"/>
        <v>0</v>
      </c>
    </row>
    <row r="2158">
      <c r="A2158" s="1" t="s">
        <v>1512</v>
      </c>
      <c r="B2158" s="3">
        <v>31.0</v>
      </c>
      <c r="C2158" s="3">
        <v>60.0</v>
      </c>
      <c r="D2158" s="3">
        <v>0.0</v>
      </c>
      <c r="E2158" s="3">
        <v>0.0</v>
      </c>
      <c r="F2158" s="3">
        <v>0.0</v>
      </c>
      <c r="G2158" s="3">
        <v>0.0</v>
      </c>
      <c r="H2158" s="3">
        <v>0.0</v>
      </c>
      <c r="I2158" s="2" t="str">
        <f>IFERROR(__xludf.DUMMYFUNCTION("INDEX(SPLIT(A2158, ""/""), 0, 2)"),"regex")</f>
        <v>regex</v>
      </c>
      <c r="J2158" s="2" t="b">
        <f t="shared" si="1"/>
        <v>0</v>
      </c>
    </row>
    <row r="2159">
      <c r="A2159" s="1" t="s">
        <v>1513</v>
      </c>
      <c r="B2159" s="3">
        <v>42.0</v>
      </c>
      <c r="C2159" s="3">
        <v>60.0</v>
      </c>
      <c r="D2159" s="3">
        <v>0.0</v>
      </c>
      <c r="E2159" s="3">
        <v>0.0</v>
      </c>
      <c r="F2159" s="3">
        <v>0.0</v>
      </c>
      <c r="G2159" s="3">
        <v>0.0</v>
      </c>
      <c r="H2159" s="3">
        <v>0.0</v>
      </c>
      <c r="I2159" s="2" t="str">
        <f>IFERROR(__xludf.DUMMYFUNCTION("INDEX(SPLIT(A2159, ""/""), 0, 2)"),"regex")</f>
        <v>regex</v>
      </c>
      <c r="J2159" s="2" t="b">
        <f t="shared" si="1"/>
        <v>0</v>
      </c>
    </row>
    <row r="2160">
      <c r="A2160" s="1" t="s">
        <v>1514</v>
      </c>
      <c r="B2160" s="3">
        <v>19.0</v>
      </c>
      <c r="C2160" s="3">
        <v>60.0</v>
      </c>
      <c r="D2160" s="3">
        <v>0.0</v>
      </c>
      <c r="E2160" s="3">
        <v>0.0</v>
      </c>
      <c r="F2160" s="3">
        <v>0.0</v>
      </c>
      <c r="G2160" s="3">
        <v>0.0</v>
      </c>
      <c r="H2160" s="3">
        <v>0.0</v>
      </c>
      <c r="I2160" s="2" t="str">
        <f>IFERROR(__xludf.DUMMYFUNCTION("INDEX(SPLIT(A2160, ""/""), 0, 2)"),"regex")</f>
        <v>regex</v>
      </c>
      <c r="J2160" s="2" t="b">
        <f t="shared" si="1"/>
        <v>0</v>
      </c>
    </row>
    <row r="2161">
      <c r="A2161" s="1" t="s">
        <v>1515</v>
      </c>
      <c r="B2161" s="3">
        <v>26.0</v>
      </c>
      <c r="C2161" s="3">
        <v>60.0</v>
      </c>
      <c r="D2161" s="3">
        <v>0.0</v>
      </c>
      <c r="E2161" s="3">
        <v>0.0</v>
      </c>
      <c r="F2161" s="3">
        <v>0.0</v>
      </c>
      <c r="G2161" s="3">
        <v>0.0</v>
      </c>
      <c r="H2161" s="3">
        <v>0.0</v>
      </c>
      <c r="I2161" s="2" t="str">
        <f>IFERROR(__xludf.DUMMYFUNCTION("INDEX(SPLIT(A2161, ""/""), 0, 2)"),"regex")</f>
        <v>regex</v>
      </c>
      <c r="J2161" s="2" t="b">
        <f t="shared" si="1"/>
        <v>0</v>
      </c>
    </row>
    <row r="2162">
      <c r="A2162" s="1" t="s">
        <v>1516</v>
      </c>
      <c r="B2162" s="3">
        <v>46.0</v>
      </c>
      <c r="C2162" s="3">
        <v>60.0</v>
      </c>
      <c r="D2162" s="3">
        <v>0.0</v>
      </c>
      <c r="E2162" s="3">
        <v>0.0</v>
      </c>
      <c r="F2162" s="3">
        <v>0.0</v>
      </c>
      <c r="G2162" s="3">
        <v>0.0</v>
      </c>
      <c r="H2162" s="3">
        <v>0.0</v>
      </c>
      <c r="I2162" s="2" t="str">
        <f>IFERROR(__xludf.DUMMYFUNCTION("INDEX(SPLIT(A2162, ""/""), 0, 2)"),"regex")</f>
        <v>regex</v>
      </c>
      <c r="J2162" s="2" t="b">
        <f t="shared" si="1"/>
        <v>0</v>
      </c>
    </row>
    <row r="2163">
      <c r="A2163" s="1" t="s">
        <v>1517</v>
      </c>
      <c r="B2163" s="3">
        <v>4.0</v>
      </c>
      <c r="C2163" s="3">
        <v>60.0</v>
      </c>
      <c r="D2163" s="3">
        <v>0.0</v>
      </c>
      <c r="E2163" s="3">
        <v>0.0</v>
      </c>
      <c r="F2163" s="3">
        <v>0.0</v>
      </c>
      <c r="G2163" s="3">
        <v>0.0</v>
      </c>
      <c r="H2163" s="3">
        <v>0.0</v>
      </c>
      <c r="I2163" s="2" t="str">
        <f>IFERROR(__xludf.DUMMYFUNCTION("INDEX(SPLIT(A2163, ""/""), 0, 2)"),"regex")</f>
        <v>regex</v>
      </c>
      <c r="J2163" s="2" t="b">
        <f t="shared" si="1"/>
        <v>0</v>
      </c>
    </row>
    <row r="2164">
      <c r="A2164" s="1" t="s">
        <v>1518</v>
      </c>
      <c r="B2164" s="3">
        <v>21.0</v>
      </c>
      <c r="C2164" s="3">
        <v>60.0</v>
      </c>
      <c r="D2164" s="3">
        <v>0.0</v>
      </c>
      <c r="E2164" s="3">
        <v>0.0</v>
      </c>
      <c r="F2164" s="3">
        <v>0.0</v>
      </c>
      <c r="G2164" s="3">
        <v>0.0</v>
      </c>
      <c r="H2164" s="3">
        <v>0.0</v>
      </c>
      <c r="I2164" s="2" t="str">
        <f>IFERROR(__xludf.DUMMYFUNCTION("INDEX(SPLIT(A2164, ""/""), 0, 2)"),"regex")</f>
        <v>regex</v>
      </c>
      <c r="J2164" s="2" t="b">
        <f t="shared" si="1"/>
        <v>0</v>
      </c>
    </row>
    <row r="2165">
      <c r="A2165" s="1" t="s">
        <v>1519</v>
      </c>
      <c r="B2165" s="3">
        <v>20.0</v>
      </c>
      <c r="C2165" s="3">
        <v>60.0</v>
      </c>
      <c r="D2165" s="3">
        <v>0.0</v>
      </c>
      <c r="E2165" s="3">
        <v>0.0</v>
      </c>
      <c r="F2165" s="3">
        <v>0.0</v>
      </c>
      <c r="G2165" s="3">
        <v>0.0</v>
      </c>
      <c r="H2165" s="3">
        <v>0.0</v>
      </c>
      <c r="I2165" s="2" t="str">
        <f>IFERROR(__xludf.DUMMYFUNCTION("INDEX(SPLIT(A2165, ""/""), 0, 2)"),"regex")</f>
        <v>regex</v>
      </c>
      <c r="J2165" s="2" t="b">
        <f t="shared" si="1"/>
        <v>0</v>
      </c>
    </row>
    <row r="2166">
      <c r="A2166" s="1" t="s">
        <v>1520</v>
      </c>
      <c r="B2166" s="3">
        <v>39.0</v>
      </c>
      <c r="C2166" s="3">
        <v>60.0</v>
      </c>
      <c r="D2166" s="3">
        <v>0.0</v>
      </c>
      <c r="E2166" s="3">
        <v>0.0</v>
      </c>
      <c r="F2166" s="3">
        <v>0.0</v>
      </c>
      <c r="G2166" s="3">
        <v>0.0</v>
      </c>
      <c r="H2166" s="3">
        <v>0.0</v>
      </c>
      <c r="I2166" s="2" t="str">
        <f>IFERROR(__xludf.DUMMYFUNCTION("INDEX(SPLIT(A2166, ""/""), 0, 2)"),"regex")</f>
        <v>regex</v>
      </c>
      <c r="J2166" s="2" t="b">
        <f t="shared" si="1"/>
        <v>0</v>
      </c>
    </row>
    <row r="2167">
      <c r="A2167" s="1" t="s">
        <v>1521</v>
      </c>
      <c r="B2167" s="3">
        <v>44.0</v>
      </c>
      <c r="C2167" s="3">
        <v>60.0</v>
      </c>
      <c r="D2167" s="3">
        <v>0.0</v>
      </c>
      <c r="E2167" s="3">
        <v>0.0</v>
      </c>
      <c r="F2167" s="3">
        <v>0.0</v>
      </c>
      <c r="G2167" s="3">
        <v>0.0</v>
      </c>
      <c r="H2167" s="3">
        <v>0.0</v>
      </c>
      <c r="I2167" s="2" t="str">
        <f>IFERROR(__xludf.DUMMYFUNCTION("INDEX(SPLIT(A2167, ""/""), 0, 2)"),"regex")</f>
        <v>regex</v>
      </c>
      <c r="J2167" s="2" t="b">
        <f t="shared" si="1"/>
        <v>0</v>
      </c>
    </row>
    <row r="2168">
      <c r="A2168" s="1" t="s">
        <v>1522</v>
      </c>
      <c r="B2168" s="3">
        <v>5.0</v>
      </c>
      <c r="C2168" s="3">
        <v>60.0</v>
      </c>
      <c r="D2168" s="3">
        <v>0.0</v>
      </c>
      <c r="E2168" s="3">
        <v>0.0</v>
      </c>
      <c r="F2168" s="3">
        <v>0.0</v>
      </c>
      <c r="G2168" s="3">
        <v>0.0</v>
      </c>
      <c r="H2168" s="3">
        <v>0.0</v>
      </c>
      <c r="I2168" s="2" t="str">
        <f>IFERROR(__xludf.DUMMYFUNCTION("INDEX(SPLIT(A2168, ""/""), 0, 2)"),"regex")</f>
        <v>regex</v>
      </c>
      <c r="J2168" s="2" t="b">
        <f t="shared" si="1"/>
        <v>0</v>
      </c>
    </row>
    <row r="2169">
      <c r="A2169" s="1" t="s">
        <v>1523</v>
      </c>
      <c r="B2169" s="3">
        <v>43.0</v>
      </c>
      <c r="C2169" s="3">
        <v>60.0</v>
      </c>
      <c r="D2169" s="3">
        <v>0.0</v>
      </c>
      <c r="E2169" s="3">
        <v>0.0</v>
      </c>
      <c r="F2169" s="3">
        <v>0.0</v>
      </c>
      <c r="G2169" s="3">
        <v>0.0</v>
      </c>
      <c r="H2169" s="3">
        <v>0.0</v>
      </c>
      <c r="I2169" s="2" t="str">
        <f>IFERROR(__xludf.DUMMYFUNCTION("INDEX(SPLIT(A2169, ""/""), 0, 2)"),"regex")</f>
        <v>regex</v>
      </c>
      <c r="J2169" s="2" t="b">
        <f t="shared" si="1"/>
        <v>0</v>
      </c>
    </row>
    <row r="2170">
      <c r="A2170" s="1" t="s">
        <v>1524</v>
      </c>
      <c r="B2170" s="3">
        <v>33.0</v>
      </c>
      <c r="C2170" s="3">
        <v>60.0</v>
      </c>
      <c r="D2170" s="3">
        <v>0.0</v>
      </c>
      <c r="E2170" s="3">
        <v>0.0</v>
      </c>
      <c r="F2170" s="3">
        <v>0.0</v>
      </c>
      <c r="G2170" s="3">
        <v>0.0</v>
      </c>
      <c r="H2170" s="3">
        <v>0.0</v>
      </c>
      <c r="I2170" s="2" t="str">
        <f>IFERROR(__xludf.DUMMYFUNCTION("INDEX(SPLIT(A2170, ""/""), 0, 2)"),"regex")</f>
        <v>regex</v>
      </c>
      <c r="J2170" s="2" t="b">
        <f t="shared" si="1"/>
        <v>0</v>
      </c>
    </row>
    <row r="2171">
      <c r="A2171" s="1" t="s">
        <v>1525</v>
      </c>
      <c r="B2171" s="3">
        <v>34.0</v>
      </c>
      <c r="C2171" s="3">
        <v>60.0</v>
      </c>
      <c r="D2171" s="3">
        <v>0.0</v>
      </c>
      <c r="E2171" s="3">
        <v>0.0</v>
      </c>
      <c r="F2171" s="3">
        <v>0.0</v>
      </c>
      <c r="G2171" s="3">
        <v>0.0</v>
      </c>
      <c r="H2171" s="3">
        <v>0.0</v>
      </c>
      <c r="I2171" s="2" t="str">
        <f>IFERROR(__xludf.DUMMYFUNCTION("INDEX(SPLIT(A2171, ""/""), 0, 2)"),"regex")</f>
        <v>regex</v>
      </c>
      <c r="J2171" s="2" t="b">
        <f t="shared" si="1"/>
        <v>0</v>
      </c>
    </row>
    <row r="2172">
      <c r="A2172" s="1" t="s">
        <v>1526</v>
      </c>
      <c r="B2172" s="3">
        <v>174.0</v>
      </c>
      <c r="C2172" s="3">
        <v>60.0</v>
      </c>
      <c r="D2172" s="3">
        <v>0.0</v>
      </c>
      <c r="E2172" s="3">
        <v>0.0</v>
      </c>
      <c r="F2172" s="3">
        <v>0.0</v>
      </c>
      <c r="G2172" s="3">
        <v>0.0</v>
      </c>
      <c r="H2172" s="3">
        <v>0.0</v>
      </c>
      <c r="I2172" s="2" t="str">
        <f>IFERROR(__xludf.DUMMYFUNCTION("INDEX(SPLIT(A2172, ""/""), 0, 2)"),"regex")</f>
        <v>regex</v>
      </c>
      <c r="J2172" s="2" t="b">
        <f t="shared" si="1"/>
        <v>0</v>
      </c>
    </row>
    <row r="2173">
      <c r="A2173" s="1" t="s">
        <v>1527</v>
      </c>
      <c r="B2173" s="3">
        <v>47.0</v>
      </c>
      <c r="C2173" s="3">
        <v>60.0</v>
      </c>
      <c r="D2173" s="3">
        <v>0.0</v>
      </c>
      <c r="E2173" s="3">
        <v>0.0</v>
      </c>
      <c r="F2173" s="3">
        <v>0.0</v>
      </c>
      <c r="G2173" s="3">
        <v>0.0</v>
      </c>
      <c r="H2173" s="3">
        <v>0.0</v>
      </c>
      <c r="I2173" s="2" t="str">
        <f>IFERROR(__xludf.DUMMYFUNCTION("INDEX(SPLIT(A2173, ""/""), 0, 2)"),"regex")</f>
        <v>regex</v>
      </c>
      <c r="J2173" s="2" t="b">
        <f t="shared" si="1"/>
        <v>0</v>
      </c>
    </row>
    <row r="2174">
      <c r="A2174" s="1" t="s">
        <v>1528</v>
      </c>
      <c r="B2174" s="3">
        <v>15.0</v>
      </c>
      <c r="C2174" s="3">
        <v>60.0</v>
      </c>
      <c r="D2174" s="3">
        <v>0.0</v>
      </c>
      <c r="E2174" s="3">
        <v>0.0</v>
      </c>
      <c r="F2174" s="3">
        <v>0.0</v>
      </c>
      <c r="G2174" s="3">
        <v>0.0</v>
      </c>
      <c r="H2174" s="3">
        <v>0.0</v>
      </c>
      <c r="I2174" s="2" t="str">
        <f>IFERROR(__xludf.DUMMYFUNCTION("INDEX(SPLIT(A2174, ""/""), 0, 2)"),"regex")</f>
        <v>regex</v>
      </c>
      <c r="J2174" s="2" t="b">
        <f t="shared" si="1"/>
        <v>0</v>
      </c>
    </row>
    <row r="2175">
      <c r="A2175" s="1" t="s">
        <v>1529</v>
      </c>
      <c r="B2175" s="3">
        <v>9.0</v>
      </c>
      <c r="C2175" s="3">
        <v>60.0</v>
      </c>
      <c r="D2175" s="3">
        <v>0.0</v>
      </c>
      <c r="E2175" s="3">
        <v>0.0</v>
      </c>
      <c r="F2175" s="3">
        <v>0.0</v>
      </c>
      <c r="G2175" s="3">
        <v>0.0</v>
      </c>
      <c r="H2175" s="3">
        <v>0.0</v>
      </c>
      <c r="I2175" s="2" t="str">
        <f>IFERROR(__xludf.DUMMYFUNCTION("INDEX(SPLIT(A2175, ""/""), 0, 2)"),"regex")</f>
        <v>regex</v>
      </c>
      <c r="J2175" s="2" t="b">
        <f t="shared" si="1"/>
        <v>0</v>
      </c>
    </row>
    <row r="2176">
      <c r="A2176" s="1" t="s">
        <v>1530</v>
      </c>
      <c r="B2176" s="3">
        <v>40.0</v>
      </c>
      <c r="C2176" s="3">
        <v>60.0</v>
      </c>
      <c r="D2176" s="3">
        <v>0.0</v>
      </c>
      <c r="E2176" s="3">
        <v>0.0</v>
      </c>
      <c r="F2176" s="3">
        <v>0.0</v>
      </c>
      <c r="G2176" s="3">
        <v>0.0</v>
      </c>
      <c r="H2176" s="3">
        <v>0.0</v>
      </c>
      <c r="I2176" s="2" t="str">
        <f>IFERROR(__xludf.DUMMYFUNCTION("INDEX(SPLIT(A2176, ""/""), 0, 2)"),"regex")</f>
        <v>regex</v>
      </c>
      <c r="J2176" s="2" t="b">
        <f t="shared" si="1"/>
        <v>0</v>
      </c>
    </row>
    <row r="2177">
      <c r="A2177" s="1" t="s">
        <v>1531</v>
      </c>
      <c r="B2177" s="3">
        <v>504.0</v>
      </c>
      <c r="C2177" s="3">
        <v>60.0</v>
      </c>
      <c r="D2177" s="3">
        <v>8.0</v>
      </c>
      <c r="E2177" s="3">
        <v>0.0</v>
      </c>
      <c r="F2177" s="3">
        <v>0.0</v>
      </c>
      <c r="G2177" s="3">
        <v>3.0</v>
      </c>
      <c r="H2177" s="3">
        <v>0.0</v>
      </c>
      <c r="I2177" s="2" t="str">
        <f>IFERROR(__xludf.DUMMYFUNCTION("INDEX(SPLIT(A2177, ""/""), 0, 2)"),"regex")</f>
        <v>regex</v>
      </c>
      <c r="J2177" s="2" t="b">
        <f t="shared" si="1"/>
        <v>0</v>
      </c>
    </row>
    <row r="2178">
      <c r="A2178" s="1" t="s">
        <v>1532</v>
      </c>
      <c r="B2178" s="3">
        <v>23.0</v>
      </c>
      <c r="C2178" s="3">
        <v>60.0</v>
      </c>
      <c r="D2178" s="3">
        <v>0.0</v>
      </c>
      <c r="E2178" s="3">
        <v>0.0</v>
      </c>
      <c r="F2178" s="3">
        <v>0.0</v>
      </c>
      <c r="G2178" s="3">
        <v>0.0</v>
      </c>
      <c r="H2178" s="3">
        <v>0.0</v>
      </c>
      <c r="I2178" s="2" t="str">
        <f>IFERROR(__xludf.DUMMYFUNCTION("INDEX(SPLIT(A2178, ""/""), 0, 2)"),"regex")</f>
        <v>regex</v>
      </c>
      <c r="J2178" s="2" t="b">
        <f t="shared" si="1"/>
        <v>0</v>
      </c>
    </row>
    <row r="2179">
      <c r="A2179" s="1" t="s">
        <v>1533</v>
      </c>
      <c r="B2179" s="3">
        <v>21.0</v>
      </c>
      <c r="C2179" s="3">
        <v>60.0</v>
      </c>
      <c r="D2179" s="3">
        <v>0.0</v>
      </c>
      <c r="E2179" s="3">
        <v>0.0</v>
      </c>
      <c r="F2179" s="3">
        <v>0.0</v>
      </c>
      <c r="G2179" s="3">
        <v>0.0</v>
      </c>
      <c r="H2179" s="3">
        <v>0.0</v>
      </c>
      <c r="I2179" s="2" t="str">
        <f>IFERROR(__xludf.DUMMYFUNCTION("INDEX(SPLIT(A2179, ""/""), 0, 2)"),"regex")</f>
        <v>regex</v>
      </c>
      <c r="J2179" s="2" t="b">
        <f t="shared" si="1"/>
        <v>0</v>
      </c>
    </row>
    <row r="2180">
      <c r="A2180" s="1" t="s">
        <v>1534</v>
      </c>
      <c r="B2180" s="3">
        <v>10.0</v>
      </c>
      <c r="C2180" s="3">
        <v>60.0</v>
      </c>
      <c r="D2180" s="3">
        <v>0.0</v>
      </c>
      <c r="E2180" s="3">
        <v>0.0</v>
      </c>
      <c r="F2180" s="3">
        <v>0.0</v>
      </c>
      <c r="G2180" s="3">
        <v>0.0</v>
      </c>
      <c r="H2180" s="3">
        <v>0.0</v>
      </c>
      <c r="I2180" s="2" t="str">
        <f>IFERROR(__xludf.DUMMYFUNCTION("INDEX(SPLIT(A2180, ""/""), 0, 2)"),"regex")</f>
        <v>regex</v>
      </c>
      <c r="J2180" s="2" t="b">
        <f t="shared" si="1"/>
        <v>0</v>
      </c>
    </row>
    <row r="2181">
      <c r="A2181" s="1" t="s">
        <v>1535</v>
      </c>
      <c r="B2181" s="3">
        <v>73.0</v>
      </c>
      <c r="C2181" s="3">
        <v>60.0</v>
      </c>
      <c r="D2181" s="3">
        <v>0.0</v>
      </c>
      <c r="E2181" s="3">
        <v>0.0</v>
      </c>
      <c r="F2181" s="3">
        <v>0.0</v>
      </c>
      <c r="G2181" s="3">
        <v>0.0</v>
      </c>
      <c r="H2181" s="3">
        <v>0.0</v>
      </c>
      <c r="I2181" s="2" t="str">
        <f>IFERROR(__xludf.DUMMYFUNCTION("INDEX(SPLIT(A2181, ""/""), 0, 2)"),"regex")</f>
        <v>regex</v>
      </c>
      <c r="J2181" s="2" t="b">
        <f t="shared" si="1"/>
        <v>0</v>
      </c>
    </row>
    <row r="2182">
      <c r="A2182" s="1" t="s">
        <v>1536</v>
      </c>
      <c r="B2182" s="3">
        <v>124.0</v>
      </c>
      <c r="C2182" s="3">
        <v>60.0</v>
      </c>
      <c r="D2182" s="3">
        <v>0.0</v>
      </c>
      <c r="E2182" s="3">
        <v>0.0</v>
      </c>
      <c r="F2182" s="3">
        <v>0.0</v>
      </c>
      <c r="G2182" s="3">
        <v>0.0</v>
      </c>
      <c r="H2182" s="3">
        <v>0.0</v>
      </c>
      <c r="I2182" s="2" t="str">
        <f>IFERROR(__xludf.DUMMYFUNCTION("INDEX(SPLIT(A2182, ""/""), 0, 2)"),"regex")</f>
        <v>regex</v>
      </c>
      <c r="J2182" s="2" t="b">
        <f t="shared" si="1"/>
        <v>0</v>
      </c>
    </row>
    <row r="2183">
      <c r="A2183" s="1" t="s">
        <v>1537</v>
      </c>
      <c r="B2183" s="3">
        <v>13.0</v>
      </c>
      <c r="C2183" s="3">
        <v>60.0</v>
      </c>
      <c r="D2183" s="3">
        <v>0.0</v>
      </c>
      <c r="E2183" s="3">
        <v>0.0</v>
      </c>
      <c r="F2183" s="3">
        <v>0.0</v>
      </c>
      <c r="G2183" s="3">
        <v>0.0</v>
      </c>
      <c r="H2183" s="3">
        <v>0.0</v>
      </c>
      <c r="I2183" s="2" t="str">
        <f>IFERROR(__xludf.DUMMYFUNCTION("INDEX(SPLIT(A2183, ""/""), 0, 2)"),"regex")</f>
        <v>regex</v>
      </c>
      <c r="J2183" s="2" t="b">
        <f t="shared" si="1"/>
        <v>0</v>
      </c>
    </row>
    <row r="2184">
      <c r="A2184" s="1" t="s">
        <v>1538</v>
      </c>
      <c r="B2184" s="3">
        <v>28.0</v>
      </c>
      <c r="C2184" s="3">
        <v>60.0</v>
      </c>
      <c r="D2184" s="3">
        <v>0.0</v>
      </c>
      <c r="E2184" s="3">
        <v>0.0</v>
      </c>
      <c r="F2184" s="3">
        <v>0.0</v>
      </c>
      <c r="G2184" s="3">
        <v>0.0</v>
      </c>
      <c r="H2184" s="3">
        <v>0.0</v>
      </c>
      <c r="I2184" s="2" t="str">
        <f>IFERROR(__xludf.DUMMYFUNCTION("INDEX(SPLIT(A2184, ""/""), 0, 2)"),"regex")</f>
        <v>regex</v>
      </c>
      <c r="J2184" s="2" t="b">
        <f t="shared" si="1"/>
        <v>0</v>
      </c>
    </row>
    <row r="2185">
      <c r="A2185" s="1" t="s">
        <v>1539</v>
      </c>
      <c r="B2185" s="3">
        <v>37.0</v>
      </c>
      <c r="C2185" s="3">
        <v>60.0</v>
      </c>
      <c r="D2185" s="3">
        <v>0.0</v>
      </c>
      <c r="E2185" s="3">
        <v>0.0</v>
      </c>
      <c r="F2185" s="3">
        <v>0.0</v>
      </c>
      <c r="G2185" s="3">
        <v>0.0</v>
      </c>
      <c r="H2185" s="3">
        <v>0.0</v>
      </c>
      <c r="I2185" s="2" t="str">
        <f>IFERROR(__xludf.DUMMYFUNCTION("INDEX(SPLIT(A2185, ""/""), 0, 2)"),"regex")</f>
        <v>regex</v>
      </c>
      <c r="J2185" s="2" t="b">
        <f t="shared" si="1"/>
        <v>0</v>
      </c>
    </row>
    <row r="2186">
      <c r="A2186" s="1" t="s">
        <v>1540</v>
      </c>
      <c r="B2186" s="3">
        <v>31.0</v>
      </c>
      <c r="C2186" s="3">
        <v>60.0</v>
      </c>
      <c r="D2186" s="3">
        <v>0.0</v>
      </c>
      <c r="E2186" s="3">
        <v>0.0</v>
      </c>
      <c r="F2186" s="3">
        <v>0.0</v>
      </c>
      <c r="G2186" s="3">
        <v>0.0</v>
      </c>
      <c r="H2186" s="3">
        <v>0.0</v>
      </c>
      <c r="I2186" s="2" t="str">
        <f>IFERROR(__xludf.DUMMYFUNCTION("INDEX(SPLIT(A2186, ""/""), 0, 2)"),"regex")</f>
        <v>regex</v>
      </c>
      <c r="J2186" s="2" t="b">
        <f t="shared" si="1"/>
        <v>0</v>
      </c>
    </row>
    <row r="2187">
      <c r="A2187" s="1" t="s">
        <v>1541</v>
      </c>
      <c r="B2187" s="3">
        <v>130.0</v>
      </c>
      <c r="C2187" s="3">
        <v>60.0</v>
      </c>
      <c r="D2187" s="3">
        <v>0.0</v>
      </c>
      <c r="E2187" s="3">
        <v>0.0</v>
      </c>
      <c r="F2187" s="3">
        <v>0.0</v>
      </c>
      <c r="G2187" s="3">
        <v>0.0</v>
      </c>
      <c r="H2187" s="3">
        <v>0.0</v>
      </c>
      <c r="I2187" s="2" t="str">
        <f>IFERROR(__xludf.DUMMYFUNCTION("INDEX(SPLIT(A2187, ""/""), 0, 2)"),"regex")</f>
        <v>regex</v>
      </c>
      <c r="J2187" s="2" t="b">
        <f t="shared" si="1"/>
        <v>0</v>
      </c>
    </row>
    <row r="2188">
      <c r="A2188" s="1" t="s">
        <v>1542</v>
      </c>
      <c r="B2188" s="3">
        <v>72.0</v>
      </c>
      <c r="C2188" s="3">
        <v>60.0</v>
      </c>
      <c r="D2188" s="3">
        <v>0.0</v>
      </c>
      <c r="E2188" s="3">
        <v>0.0</v>
      </c>
      <c r="F2188" s="3">
        <v>0.0</v>
      </c>
      <c r="G2188" s="3">
        <v>0.0</v>
      </c>
      <c r="H2188" s="3">
        <v>0.0</v>
      </c>
      <c r="I2188" s="2" t="str">
        <f>IFERROR(__xludf.DUMMYFUNCTION("INDEX(SPLIT(A2188, ""/""), 0, 2)"),"regex")</f>
        <v>regex</v>
      </c>
      <c r="J2188" s="2" t="b">
        <f t="shared" si="1"/>
        <v>0</v>
      </c>
    </row>
    <row r="2189">
      <c r="A2189" s="1" t="s">
        <v>1543</v>
      </c>
      <c r="B2189" s="3">
        <v>20.0</v>
      </c>
      <c r="C2189" s="3">
        <v>60.0</v>
      </c>
      <c r="D2189" s="3">
        <v>0.0</v>
      </c>
      <c r="E2189" s="3">
        <v>0.0</v>
      </c>
      <c r="F2189" s="3">
        <v>0.0</v>
      </c>
      <c r="G2189" s="3">
        <v>0.0</v>
      </c>
      <c r="H2189" s="3">
        <v>0.0</v>
      </c>
      <c r="I2189" s="2" t="str">
        <f>IFERROR(__xludf.DUMMYFUNCTION("INDEX(SPLIT(A2189, ""/""), 0, 2)"),"regex")</f>
        <v>regex</v>
      </c>
      <c r="J2189" s="2" t="b">
        <f t="shared" si="1"/>
        <v>0</v>
      </c>
    </row>
    <row r="2190">
      <c r="A2190" s="1" t="s">
        <v>1544</v>
      </c>
      <c r="B2190" s="3">
        <v>25.0</v>
      </c>
      <c r="C2190" s="3">
        <v>60.0</v>
      </c>
      <c r="D2190" s="3">
        <v>0.0</v>
      </c>
      <c r="E2190" s="3">
        <v>0.0</v>
      </c>
      <c r="F2190" s="3">
        <v>0.0</v>
      </c>
      <c r="G2190" s="3">
        <v>0.0</v>
      </c>
      <c r="H2190" s="3">
        <v>0.0</v>
      </c>
      <c r="I2190" s="2" t="str">
        <f>IFERROR(__xludf.DUMMYFUNCTION("INDEX(SPLIT(A2190, ""/""), 0, 2)"),"regex")</f>
        <v>regex</v>
      </c>
      <c r="J2190" s="2" t="b">
        <f t="shared" si="1"/>
        <v>0</v>
      </c>
    </row>
    <row r="2191">
      <c r="A2191" s="1" t="s">
        <v>1545</v>
      </c>
      <c r="B2191" s="3">
        <v>22.0</v>
      </c>
      <c r="C2191" s="3">
        <v>60.0</v>
      </c>
      <c r="D2191" s="3">
        <v>0.0</v>
      </c>
      <c r="E2191" s="3">
        <v>0.0</v>
      </c>
      <c r="F2191" s="3">
        <v>0.0</v>
      </c>
      <c r="G2191" s="3">
        <v>0.0</v>
      </c>
      <c r="H2191" s="3">
        <v>0.0</v>
      </c>
      <c r="I2191" s="2" t="str">
        <f>IFERROR(__xludf.DUMMYFUNCTION("INDEX(SPLIT(A2191, ""/""), 0, 2)"),"regex")</f>
        <v>regex</v>
      </c>
      <c r="J2191" s="2" t="b">
        <f t="shared" si="1"/>
        <v>0</v>
      </c>
    </row>
    <row r="2192">
      <c r="A2192" s="1" t="s">
        <v>1546</v>
      </c>
      <c r="B2192" s="3">
        <v>90.0</v>
      </c>
      <c r="C2192" s="3">
        <v>60.0</v>
      </c>
      <c r="D2192" s="3">
        <v>0.0</v>
      </c>
      <c r="E2192" s="3">
        <v>0.0</v>
      </c>
      <c r="F2192" s="3">
        <v>0.0</v>
      </c>
      <c r="G2192" s="3">
        <v>0.0</v>
      </c>
      <c r="H2192" s="3">
        <v>0.0</v>
      </c>
      <c r="I2192" s="2" t="str">
        <f>IFERROR(__xludf.DUMMYFUNCTION("INDEX(SPLIT(A2192, ""/""), 0, 2)"),"regex")</f>
        <v>regex</v>
      </c>
      <c r="J2192" s="2" t="b">
        <f t="shared" si="1"/>
        <v>0</v>
      </c>
    </row>
    <row r="2193">
      <c r="A2193" s="1" t="s">
        <v>1547</v>
      </c>
      <c r="B2193" s="3">
        <v>50.0</v>
      </c>
      <c r="C2193" s="3">
        <v>60.0</v>
      </c>
      <c r="D2193" s="3">
        <v>0.0</v>
      </c>
      <c r="E2193" s="3">
        <v>0.0</v>
      </c>
      <c r="F2193" s="3">
        <v>0.0</v>
      </c>
      <c r="G2193" s="3">
        <v>0.0</v>
      </c>
      <c r="H2193" s="3">
        <v>0.0</v>
      </c>
      <c r="I2193" s="2" t="str">
        <f>IFERROR(__xludf.DUMMYFUNCTION("INDEX(SPLIT(A2193, ""/""), 0, 2)"),"regex")</f>
        <v>regex</v>
      </c>
      <c r="J2193" s="2" t="b">
        <f t="shared" si="1"/>
        <v>0</v>
      </c>
    </row>
    <row r="2194">
      <c r="A2194" s="1" t="s">
        <v>1548</v>
      </c>
      <c r="B2194" s="3">
        <v>22.0</v>
      </c>
      <c r="C2194" s="3">
        <v>60.0</v>
      </c>
      <c r="D2194" s="3">
        <v>0.0</v>
      </c>
      <c r="E2194" s="3">
        <v>0.0</v>
      </c>
      <c r="F2194" s="3">
        <v>0.0</v>
      </c>
      <c r="G2194" s="3">
        <v>0.0</v>
      </c>
      <c r="H2194" s="3">
        <v>0.0</v>
      </c>
      <c r="I2194" s="2" t="str">
        <f>IFERROR(__xludf.DUMMYFUNCTION("INDEX(SPLIT(A2194, ""/""), 0, 2)"),"regex")</f>
        <v>regex</v>
      </c>
      <c r="J2194" s="2" t="b">
        <f t="shared" si="1"/>
        <v>0</v>
      </c>
    </row>
    <row r="2195">
      <c r="A2195" s="1" t="s">
        <v>1549</v>
      </c>
      <c r="B2195" s="3">
        <v>16.0</v>
      </c>
      <c r="C2195" s="3">
        <v>60.0</v>
      </c>
      <c r="D2195" s="3">
        <v>0.0</v>
      </c>
      <c r="E2195" s="3">
        <v>0.0</v>
      </c>
      <c r="F2195" s="3">
        <v>0.0</v>
      </c>
      <c r="G2195" s="3">
        <v>0.0</v>
      </c>
      <c r="H2195" s="3">
        <v>0.0</v>
      </c>
      <c r="I2195" s="2" t="str">
        <f>IFERROR(__xludf.DUMMYFUNCTION("INDEX(SPLIT(A2195, ""/""), 0, 2)"),"regex")</f>
        <v>regex</v>
      </c>
      <c r="J2195" s="2" t="b">
        <f t="shared" si="1"/>
        <v>0</v>
      </c>
    </row>
    <row r="2196">
      <c r="A2196" s="1" t="s">
        <v>1550</v>
      </c>
      <c r="B2196" s="3">
        <v>11.0</v>
      </c>
      <c r="C2196" s="3">
        <v>60.0</v>
      </c>
      <c r="D2196" s="3">
        <v>0.0</v>
      </c>
      <c r="E2196" s="3">
        <v>0.0</v>
      </c>
      <c r="F2196" s="3">
        <v>0.0</v>
      </c>
      <c r="G2196" s="3">
        <v>0.0</v>
      </c>
      <c r="H2196" s="3">
        <v>0.0</v>
      </c>
      <c r="I2196" s="2" t="str">
        <f>IFERROR(__xludf.DUMMYFUNCTION("INDEX(SPLIT(A2196, ""/""), 0, 2)"),"regex")</f>
        <v>regex</v>
      </c>
      <c r="J2196" s="2" t="b">
        <f t="shared" si="1"/>
        <v>0</v>
      </c>
    </row>
    <row r="2197">
      <c r="A2197" s="1" t="s">
        <v>1551</v>
      </c>
      <c r="B2197" s="3">
        <v>36.0</v>
      </c>
      <c r="C2197" s="3">
        <v>60.0</v>
      </c>
      <c r="D2197" s="3">
        <v>0.0</v>
      </c>
      <c r="E2197" s="3">
        <v>0.0</v>
      </c>
      <c r="F2197" s="3">
        <v>0.0</v>
      </c>
      <c r="G2197" s="3">
        <v>0.0</v>
      </c>
      <c r="H2197" s="3">
        <v>0.0</v>
      </c>
      <c r="I2197" s="2" t="str">
        <f>IFERROR(__xludf.DUMMYFUNCTION("INDEX(SPLIT(A2197, ""/""), 0, 2)"),"regex")</f>
        <v>regex</v>
      </c>
      <c r="J2197" s="2" t="b">
        <f t="shared" si="1"/>
        <v>0</v>
      </c>
    </row>
    <row r="2198">
      <c r="A2198" s="1" t="s">
        <v>1552</v>
      </c>
      <c r="B2198" s="3">
        <v>55.0</v>
      </c>
      <c r="C2198" s="3">
        <v>60.0</v>
      </c>
      <c r="D2198" s="3">
        <v>0.0</v>
      </c>
      <c r="E2198" s="3">
        <v>0.0</v>
      </c>
      <c r="F2198" s="3">
        <v>0.0</v>
      </c>
      <c r="G2198" s="3">
        <v>0.0</v>
      </c>
      <c r="H2198" s="3">
        <v>0.0</v>
      </c>
      <c r="I2198" s="2" t="str">
        <f>IFERROR(__xludf.DUMMYFUNCTION("INDEX(SPLIT(A2198, ""/""), 0, 2)"),"regex")</f>
        <v>regex</v>
      </c>
      <c r="J2198" s="2" t="b">
        <f t="shared" si="1"/>
        <v>0</v>
      </c>
    </row>
    <row r="2199">
      <c r="A2199" s="1" t="s">
        <v>1553</v>
      </c>
      <c r="B2199" s="3">
        <v>14.0</v>
      </c>
      <c r="C2199" s="3">
        <v>60.0</v>
      </c>
      <c r="D2199" s="3">
        <v>0.0</v>
      </c>
      <c r="E2199" s="3">
        <v>0.0</v>
      </c>
      <c r="F2199" s="3">
        <v>0.0</v>
      </c>
      <c r="G2199" s="3">
        <v>0.0</v>
      </c>
      <c r="H2199" s="3">
        <v>0.0</v>
      </c>
      <c r="I2199" s="2" t="str">
        <f>IFERROR(__xludf.DUMMYFUNCTION("INDEX(SPLIT(A2199, ""/""), 0, 2)"),"regex")</f>
        <v>regex</v>
      </c>
      <c r="J2199" s="2" t="b">
        <f t="shared" si="1"/>
        <v>0</v>
      </c>
    </row>
    <row r="2200">
      <c r="A2200" s="1" t="s">
        <v>1554</v>
      </c>
      <c r="B2200" s="3">
        <v>12.0</v>
      </c>
      <c r="C2200" s="3">
        <v>60.0</v>
      </c>
      <c r="D2200" s="3">
        <v>0.0</v>
      </c>
      <c r="E2200" s="3">
        <v>0.0</v>
      </c>
      <c r="F2200" s="3">
        <v>0.0</v>
      </c>
      <c r="G2200" s="3">
        <v>0.0</v>
      </c>
      <c r="H2200" s="3">
        <v>0.0</v>
      </c>
      <c r="I2200" s="2" t="str">
        <f>IFERROR(__xludf.DUMMYFUNCTION("INDEX(SPLIT(A2200, ""/""), 0, 2)"),"regex")</f>
        <v>regex</v>
      </c>
      <c r="J2200" s="2" t="b">
        <f t="shared" si="1"/>
        <v>0</v>
      </c>
    </row>
    <row r="2201">
      <c r="A2201" s="1" t="s">
        <v>1555</v>
      </c>
      <c r="B2201" s="3">
        <v>49.0</v>
      </c>
      <c r="C2201" s="3">
        <v>60.0</v>
      </c>
      <c r="D2201" s="3">
        <v>0.0</v>
      </c>
      <c r="E2201" s="3">
        <v>0.0</v>
      </c>
      <c r="F2201" s="3">
        <v>0.0</v>
      </c>
      <c r="G2201" s="3">
        <v>0.0</v>
      </c>
      <c r="H2201" s="3">
        <v>0.0</v>
      </c>
      <c r="I2201" s="2" t="str">
        <f>IFERROR(__xludf.DUMMYFUNCTION("INDEX(SPLIT(A2201, ""/""), 0, 2)"),"regex")</f>
        <v>regex</v>
      </c>
      <c r="J2201" s="2" t="b">
        <f t="shared" si="1"/>
        <v>0</v>
      </c>
    </row>
    <row r="2202">
      <c r="A2202" s="1" t="s">
        <v>1556</v>
      </c>
      <c r="B2202" s="3">
        <v>17.0</v>
      </c>
      <c r="C2202" s="3">
        <v>60.0</v>
      </c>
      <c r="D2202" s="3">
        <v>0.0</v>
      </c>
      <c r="E2202" s="3">
        <v>0.0</v>
      </c>
      <c r="F2202" s="3">
        <v>0.0</v>
      </c>
      <c r="G2202" s="3">
        <v>0.0</v>
      </c>
      <c r="H2202" s="3">
        <v>0.0</v>
      </c>
      <c r="I2202" s="2" t="str">
        <f>IFERROR(__xludf.DUMMYFUNCTION("INDEX(SPLIT(A2202, ""/""), 0, 2)"),"regex")</f>
        <v>regex</v>
      </c>
      <c r="J2202" s="2" t="b">
        <f t="shared" si="1"/>
        <v>0</v>
      </c>
    </row>
    <row r="2203">
      <c r="A2203" s="1" t="s">
        <v>1557</v>
      </c>
      <c r="B2203" s="3">
        <v>126.0</v>
      </c>
      <c r="C2203" s="3">
        <v>60.0</v>
      </c>
      <c r="D2203" s="3">
        <v>0.0</v>
      </c>
      <c r="E2203" s="3">
        <v>0.0</v>
      </c>
      <c r="F2203" s="3">
        <v>0.0</v>
      </c>
      <c r="G2203" s="3">
        <v>0.0</v>
      </c>
      <c r="H2203" s="3">
        <v>0.0</v>
      </c>
      <c r="I2203" s="2" t="str">
        <f>IFERROR(__xludf.DUMMYFUNCTION("INDEX(SPLIT(A2203, ""/""), 0, 2)"),"regex")</f>
        <v>regex</v>
      </c>
      <c r="J2203" s="2" t="b">
        <f t="shared" si="1"/>
        <v>0</v>
      </c>
    </row>
    <row r="2204">
      <c r="A2204" s="1" t="s">
        <v>1558</v>
      </c>
      <c r="B2204" s="3">
        <v>62.0</v>
      </c>
      <c r="C2204" s="3">
        <v>60.0</v>
      </c>
      <c r="D2204" s="3">
        <v>0.0</v>
      </c>
      <c r="E2204" s="3">
        <v>0.0</v>
      </c>
      <c r="F2204" s="3">
        <v>0.0</v>
      </c>
      <c r="G2204" s="3">
        <v>0.0</v>
      </c>
      <c r="H2204" s="3">
        <v>0.0</v>
      </c>
      <c r="I2204" s="2" t="str">
        <f>IFERROR(__xludf.DUMMYFUNCTION("INDEX(SPLIT(A2204, ""/""), 0, 2)"),"regex")</f>
        <v>regex</v>
      </c>
      <c r="J2204" s="2" t="b">
        <f t="shared" si="1"/>
        <v>0</v>
      </c>
    </row>
    <row r="2205">
      <c r="A2205" s="1" t="s">
        <v>1559</v>
      </c>
      <c r="B2205" s="3">
        <v>38.0</v>
      </c>
      <c r="C2205" s="3">
        <v>60.0</v>
      </c>
      <c r="D2205" s="3">
        <v>0.0</v>
      </c>
      <c r="E2205" s="3">
        <v>0.0</v>
      </c>
      <c r="F2205" s="3">
        <v>0.0</v>
      </c>
      <c r="G2205" s="3">
        <v>0.0</v>
      </c>
      <c r="H2205" s="3">
        <v>0.0</v>
      </c>
      <c r="I2205" s="2" t="str">
        <f>IFERROR(__xludf.DUMMYFUNCTION("INDEX(SPLIT(A2205, ""/""), 0, 2)"),"regex")</f>
        <v>regex</v>
      </c>
      <c r="J2205" s="2" t="b">
        <f t="shared" si="1"/>
        <v>0</v>
      </c>
    </row>
    <row r="2206">
      <c r="A2206" s="1" t="s">
        <v>1560</v>
      </c>
      <c r="B2206" s="3">
        <v>69.0</v>
      </c>
      <c r="C2206" s="3">
        <v>60.0</v>
      </c>
      <c r="D2206" s="3">
        <v>0.0</v>
      </c>
      <c r="E2206" s="3">
        <v>0.0</v>
      </c>
      <c r="F2206" s="3">
        <v>0.0</v>
      </c>
      <c r="G2206" s="3">
        <v>0.0</v>
      </c>
      <c r="H2206" s="3">
        <v>0.0</v>
      </c>
      <c r="I2206" s="2" t="str">
        <f>IFERROR(__xludf.DUMMYFUNCTION("INDEX(SPLIT(A2206, ""/""), 0, 2)"),"regex")</f>
        <v>regex</v>
      </c>
      <c r="J2206" s="2" t="b">
        <f t="shared" si="1"/>
        <v>0</v>
      </c>
    </row>
    <row r="2207">
      <c r="A2207" s="1" t="s">
        <v>1561</v>
      </c>
      <c r="B2207" s="3">
        <v>17.0</v>
      </c>
      <c r="C2207" s="3">
        <v>60.0</v>
      </c>
      <c r="D2207" s="3">
        <v>0.0</v>
      </c>
      <c r="E2207" s="3">
        <v>0.0</v>
      </c>
      <c r="F2207" s="3">
        <v>0.0</v>
      </c>
      <c r="G2207" s="3">
        <v>0.0</v>
      </c>
      <c r="H2207" s="3">
        <v>0.0</v>
      </c>
      <c r="I2207" s="2" t="str">
        <f>IFERROR(__xludf.DUMMYFUNCTION("INDEX(SPLIT(A2207, ""/""), 0, 2)"),"regex")</f>
        <v>regex</v>
      </c>
      <c r="J2207" s="2" t="b">
        <f t="shared" si="1"/>
        <v>0</v>
      </c>
    </row>
    <row r="2208">
      <c r="A2208" s="1" t="s">
        <v>1562</v>
      </c>
      <c r="B2208" s="3">
        <v>85.0</v>
      </c>
      <c r="C2208" s="3">
        <v>60.0</v>
      </c>
      <c r="D2208" s="3">
        <v>0.0</v>
      </c>
      <c r="E2208" s="3">
        <v>0.0</v>
      </c>
      <c r="F2208" s="3">
        <v>0.0</v>
      </c>
      <c r="G2208" s="3">
        <v>0.0</v>
      </c>
      <c r="H2208" s="3">
        <v>0.0</v>
      </c>
      <c r="I2208" s="2" t="str">
        <f>IFERROR(__xludf.DUMMYFUNCTION("INDEX(SPLIT(A2208, ""/""), 0, 2)"),"regex")</f>
        <v>regex</v>
      </c>
      <c r="J2208" s="2" t="b">
        <f t="shared" si="1"/>
        <v>0</v>
      </c>
    </row>
    <row r="2209">
      <c r="A2209" s="1" t="s">
        <v>1563</v>
      </c>
      <c r="B2209" s="3">
        <v>32.0</v>
      </c>
      <c r="C2209" s="3">
        <v>60.0</v>
      </c>
      <c r="D2209" s="3">
        <v>0.0</v>
      </c>
      <c r="E2209" s="3">
        <v>0.0</v>
      </c>
      <c r="F2209" s="3">
        <v>0.0</v>
      </c>
      <c r="G2209" s="3">
        <v>0.0</v>
      </c>
      <c r="H2209" s="3">
        <v>0.0</v>
      </c>
      <c r="I2209" s="2" t="str">
        <f>IFERROR(__xludf.DUMMYFUNCTION("INDEX(SPLIT(A2209, ""/""), 0, 2)"),"regex")</f>
        <v>regex</v>
      </c>
      <c r="J2209" s="2" t="b">
        <f t="shared" si="1"/>
        <v>0</v>
      </c>
    </row>
    <row r="2210">
      <c r="A2210" s="1" t="s">
        <v>1564</v>
      </c>
      <c r="B2210" s="3">
        <v>7.0</v>
      </c>
      <c r="C2210" s="3">
        <v>60.0</v>
      </c>
      <c r="D2210" s="3">
        <v>0.0</v>
      </c>
      <c r="E2210" s="3">
        <v>0.0</v>
      </c>
      <c r="F2210" s="3">
        <v>0.0</v>
      </c>
      <c r="G2210" s="3">
        <v>0.0</v>
      </c>
      <c r="H2210" s="3">
        <v>0.0</v>
      </c>
      <c r="I2210" s="2" t="str">
        <f>IFERROR(__xludf.DUMMYFUNCTION("INDEX(SPLIT(A2210, ""/""), 0, 2)"),"regex")</f>
        <v>regex</v>
      </c>
      <c r="J2210" s="2" t="b">
        <f t="shared" si="1"/>
        <v>0</v>
      </c>
    </row>
    <row r="2211">
      <c r="A2211" s="1" t="s">
        <v>1565</v>
      </c>
      <c r="B2211" s="3">
        <v>331.0</v>
      </c>
      <c r="C2211" s="3">
        <v>60.0</v>
      </c>
      <c r="D2211" s="3">
        <v>0.0</v>
      </c>
      <c r="E2211" s="3">
        <v>0.0</v>
      </c>
      <c r="F2211" s="3">
        <v>0.0</v>
      </c>
      <c r="G2211" s="3">
        <v>0.0</v>
      </c>
      <c r="H2211" s="3">
        <v>0.0</v>
      </c>
      <c r="I2211" s="2" t="str">
        <f>IFERROR(__xludf.DUMMYFUNCTION("INDEX(SPLIT(A2211, ""/""), 0, 2)"),"regex")</f>
        <v>regex</v>
      </c>
      <c r="J2211" s="2" t="b">
        <f t="shared" si="1"/>
        <v>0</v>
      </c>
    </row>
    <row r="2212">
      <c r="A2212" s="1" t="s">
        <v>1566</v>
      </c>
      <c r="B2212" s="3">
        <v>192.0</v>
      </c>
      <c r="C2212" s="3">
        <v>60.0</v>
      </c>
      <c r="D2212" s="3">
        <v>1.0</v>
      </c>
      <c r="E2212" s="3">
        <v>0.0</v>
      </c>
      <c r="F2212" s="3">
        <v>0.0</v>
      </c>
      <c r="G2212" s="3">
        <v>0.0</v>
      </c>
      <c r="H2212" s="3">
        <v>0.0</v>
      </c>
      <c r="I2212" s="2" t="str">
        <f>IFERROR(__xludf.DUMMYFUNCTION("INDEX(SPLIT(A2212, ""/""), 0, 2)"),"regex")</f>
        <v>regex</v>
      </c>
      <c r="J2212" s="2" t="b">
        <f t="shared" si="1"/>
        <v>0</v>
      </c>
    </row>
    <row r="2213">
      <c r="A2213" s="1" t="s">
        <v>1567</v>
      </c>
      <c r="B2213" s="3">
        <v>16.0</v>
      </c>
      <c r="C2213" s="3">
        <v>60.0</v>
      </c>
      <c r="D2213" s="3">
        <v>0.0</v>
      </c>
      <c r="E2213" s="3">
        <v>0.0</v>
      </c>
      <c r="F2213" s="3">
        <v>0.0</v>
      </c>
      <c r="G2213" s="3">
        <v>0.0</v>
      </c>
      <c r="H2213" s="3">
        <v>0.0</v>
      </c>
      <c r="I2213" s="2" t="str">
        <f>IFERROR(__xludf.DUMMYFUNCTION("INDEX(SPLIT(A2213, ""/""), 0, 2)"),"regex")</f>
        <v>regex</v>
      </c>
      <c r="J2213" s="2" t="b">
        <f t="shared" si="1"/>
        <v>0</v>
      </c>
    </row>
    <row r="2214">
      <c r="A2214" s="1" t="s">
        <v>1568</v>
      </c>
      <c r="B2214" s="3">
        <v>5.0</v>
      </c>
      <c r="C2214" s="3">
        <v>60.0</v>
      </c>
      <c r="D2214" s="3">
        <v>0.0</v>
      </c>
      <c r="E2214" s="3">
        <v>0.0</v>
      </c>
      <c r="F2214" s="3">
        <v>0.0</v>
      </c>
      <c r="G2214" s="3">
        <v>0.0</v>
      </c>
      <c r="H2214" s="3">
        <v>0.0</v>
      </c>
      <c r="I2214" s="2" t="str">
        <f>IFERROR(__xludf.DUMMYFUNCTION("INDEX(SPLIT(A2214, ""/""), 0, 2)"),"regex")</f>
        <v>regex</v>
      </c>
      <c r="J2214" s="2" t="b">
        <f t="shared" si="1"/>
        <v>0</v>
      </c>
    </row>
    <row r="2215">
      <c r="A2215" s="1" t="s">
        <v>1569</v>
      </c>
      <c r="B2215" s="3">
        <v>44.0</v>
      </c>
      <c r="C2215" s="3">
        <v>60.0</v>
      </c>
      <c r="D2215" s="3">
        <v>0.0</v>
      </c>
      <c r="E2215" s="3">
        <v>0.0</v>
      </c>
      <c r="F2215" s="3">
        <v>0.0</v>
      </c>
      <c r="G2215" s="3">
        <v>0.0</v>
      </c>
      <c r="H2215" s="3">
        <v>0.0</v>
      </c>
      <c r="I2215" s="2" t="str">
        <f>IFERROR(__xludf.DUMMYFUNCTION("INDEX(SPLIT(A2215, ""/""), 0, 2)"),"regex")</f>
        <v>regex</v>
      </c>
      <c r="J2215" s="2" t="b">
        <f t="shared" si="1"/>
        <v>0</v>
      </c>
    </row>
    <row r="2216">
      <c r="A2216" s="1" t="s">
        <v>1570</v>
      </c>
      <c r="B2216" s="3">
        <v>80.0</v>
      </c>
      <c r="C2216" s="3">
        <v>60.0</v>
      </c>
      <c r="D2216" s="3">
        <v>0.0</v>
      </c>
      <c r="E2216" s="3">
        <v>0.0</v>
      </c>
      <c r="F2216" s="3">
        <v>0.0</v>
      </c>
      <c r="G2216" s="3">
        <v>0.0</v>
      </c>
      <c r="H2216" s="3">
        <v>0.0</v>
      </c>
      <c r="I2216" s="2" t="str">
        <f>IFERROR(__xludf.DUMMYFUNCTION("INDEX(SPLIT(A2216, ""/""), 0, 2)"),"regex")</f>
        <v>regex</v>
      </c>
      <c r="J2216" s="2" t="b">
        <f t="shared" si="1"/>
        <v>0</v>
      </c>
    </row>
    <row r="2217">
      <c r="A2217" s="1" t="s">
        <v>1571</v>
      </c>
      <c r="B2217" s="3">
        <v>17.0</v>
      </c>
      <c r="C2217" s="3">
        <v>60.0</v>
      </c>
      <c r="D2217" s="3">
        <v>0.0</v>
      </c>
      <c r="E2217" s="3">
        <v>0.0</v>
      </c>
      <c r="F2217" s="3">
        <v>0.0</v>
      </c>
      <c r="G2217" s="3">
        <v>0.0</v>
      </c>
      <c r="H2217" s="3">
        <v>0.0</v>
      </c>
      <c r="I2217" s="2" t="str">
        <f>IFERROR(__xludf.DUMMYFUNCTION("INDEX(SPLIT(A2217, ""/""), 0, 2)"),"regex")</f>
        <v>regex</v>
      </c>
      <c r="J2217" s="2" t="b">
        <f t="shared" si="1"/>
        <v>0</v>
      </c>
    </row>
    <row r="2218">
      <c r="A2218" s="1" t="s">
        <v>1572</v>
      </c>
      <c r="B2218" s="3">
        <v>55.0</v>
      </c>
      <c r="C2218" s="3">
        <v>60.0</v>
      </c>
      <c r="D2218" s="3">
        <v>0.0</v>
      </c>
      <c r="E2218" s="3">
        <v>0.0</v>
      </c>
      <c r="F2218" s="3">
        <v>0.0</v>
      </c>
      <c r="G2218" s="3">
        <v>0.0</v>
      </c>
      <c r="H2218" s="3">
        <v>0.0</v>
      </c>
      <c r="I2218" s="2" t="str">
        <f>IFERROR(__xludf.DUMMYFUNCTION("INDEX(SPLIT(A2218, ""/""), 0, 2)"),"regex")</f>
        <v>regex</v>
      </c>
      <c r="J2218" s="2" t="b">
        <f t="shared" si="1"/>
        <v>0</v>
      </c>
    </row>
    <row r="2219">
      <c r="A2219" s="1" t="s">
        <v>1573</v>
      </c>
      <c r="B2219" s="3">
        <v>27.0</v>
      </c>
      <c r="C2219" s="3">
        <v>60.0</v>
      </c>
      <c r="D2219" s="3">
        <v>0.0</v>
      </c>
      <c r="E2219" s="3">
        <v>0.0</v>
      </c>
      <c r="F2219" s="3">
        <v>0.0</v>
      </c>
      <c r="G2219" s="3">
        <v>0.0</v>
      </c>
      <c r="H2219" s="3">
        <v>0.0</v>
      </c>
      <c r="I2219" s="2" t="str">
        <f>IFERROR(__xludf.DUMMYFUNCTION("INDEX(SPLIT(A2219, ""/""), 0, 2)"),"regex")</f>
        <v>regex</v>
      </c>
      <c r="J2219" s="2" t="b">
        <f t="shared" si="1"/>
        <v>0</v>
      </c>
    </row>
    <row r="2220">
      <c r="A2220" s="1" t="s">
        <v>1574</v>
      </c>
      <c r="B2220" s="3">
        <v>34.0</v>
      </c>
      <c r="C2220" s="3">
        <v>60.0</v>
      </c>
      <c r="D2220" s="3">
        <v>0.0</v>
      </c>
      <c r="E2220" s="3">
        <v>0.0</v>
      </c>
      <c r="F2220" s="3">
        <v>0.0</v>
      </c>
      <c r="G2220" s="3">
        <v>0.0</v>
      </c>
      <c r="H2220" s="3">
        <v>0.0</v>
      </c>
      <c r="I2220" s="2" t="str">
        <f>IFERROR(__xludf.DUMMYFUNCTION("INDEX(SPLIT(A2220, ""/""), 0, 2)"),"regex")</f>
        <v>regex</v>
      </c>
      <c r="J2220" s="2" t="b">
        <f t="shared" si="1"/>
        <v>0</v>
      </c>
    </row>
    <row r="2221">
      <c r="A2221" s="1" t="s">
        <v>1575</v>
      </c>
      <c r="B2221" s="3">
        <v>21.0</v>
      </c>
      <c r="C2221" s="3">
        <v>60.0</v>
      </c>
      <c r="D2221" s="3">
        <v>0.0</v>
      </c>
      <c r="E2221" s="3">
        <v>0.0</v>
      </c>
      <c r="F2221" s="3">
        <v>0.0</v>
      </c>
      <c r="G2221" s="3">
        <v>0.0</v>
      </c>
      <c r="H2221" s="3">
        <v>0.0</v>
      </c>
      <c r="I2221" s="2" t="str">
        <f>IFERROR(__xludf.DUMMYFUNCTION("INDEX(SPLIT(A2221, ""/""), 0, 2)"),"regex")</f>
        <v>regex</v>
      </c>
      <c r="J2221" s="2" t="b">
        <f t="shared" si="1"/>
        <v>0</v>
      </c>
    </row>
    <row r="2222">
      <c r="A2222" s="1" t="s">
        <v>1576</v>
      </c>
      <c r="B2222" s="3">
        <v>110.0</v>
      </c>
      <c r="C2222" s="3">
        <v>60.0</v>
      </c>
      <c r="D2222" s="3">
        <v>0.0</v>
      </c>
      <c r="E2222" s="3">
        <v>0.0</v>
      </c>
      <c r="F2222" s="3">
        <v>0.0</v>
      </c>
      <c r="G2222" s="3">
        <v>0.0</v>
      </c>
      <c r="H2222" s="3">
        <v>0.0</v>
      </c>
      <c r="I2222" s="2" t="str">
        <f>IFERROR(__xludf.DUMMYFUNCTION("INDEX(SPLIT(A2222, ""/""), 0, 2)"),"regex")</f>
        <v>regex</v>
      </c>
      <c r="J2222" s="2" t="b">
        <f t="shared" si="1"/>
        <v>0</v>
      </c>
    </row>
    <row r="2223">
      <c r="A2223" s="1" t="s">
        <v>1577</v>
      </c>
      <c r="B2223" s="3">
        <v>18.0</v>
      </c>
      <c r="C2223" s="3">
        <v>60.0</v>
      </c>
      <c r="D2223" s="3">
        <v>0.0</v>
      </c>
      <c r="E2223" s="3">
        <v>0.0</v>
      </c>
      <c r="F2223" s="3">
        <v>0.0</v>
      </c>
      <c r="G2223" s="3">
        <v>0.0</v>
      </c>
      <c r="H2223" s="3">
        <v>0.0</v>
      </c>
      <c r="I2223" s="2" t="str">
        <f>IFERROR(__xludf.DUMMYFUNCTION("INDEX(SPLIT(A2223, ""/""), 0, 2)"),"regex")</f>
        <v>regex</v>
      </c>
      <c r="J2223" s="2" t="b">
        <f t="shared" si="1"/>
        <v>0</v>
      </c>
    </row>
    <row r="2224">
      <c r="A2224" s="1" t="s">
        <v>1578</v>
      </c>
      <c r="B2224" s="3">
        <v>155.0</v>
      </c>
      <c r="C2224" s="3">
        <v>60.0</v>
      </c>
      <c r="D2224" s="3">
        <v>0.0</v>
      </c>
      <c r="E2224" s="3">
        <v>0.0</v>
      </c>
      <c r="F2224" s="3">
        <v>0.0</v>
      </c>
      <c r="G2224" s="3">
        <v>0.0</v>
      </c>
      <c r="H2224" s="3">
        <v>0.0</v>
      </c>
      <c r="I2224" s="2" t="str">
        <f>IFERROR(__xludf.DUMMYFUNCTION("INDEX(SPLIT(A2224, ""/""), 0, 2)"),"regex")</f>
        <v>regex</v>
      </c>
      <c r="J2224" s="2" t="b">
        <f t="shared" si="1"/>
        <v>0</v>
      </c>
    </row>
    <row r="2225">
      <c r="A2225" s="1" t="s">
        <v>1579</v>
      </c>
      <c r="B2225" s="3">
        <v>86.0</v>
      </c>
      <c r="C2225" s="3">
        <v>60.0</v>
      </c>
      <c r="D2225" s="3">
        <v>0.0</v>
      </c>
      <c r="E2225" s="3">
        <v>0.0</v>
      </c>
      <c r="F2225" s="3">
        <v>0.0</v>
      </c>
      <c r="G2225" s="3">
        <v>0.0</v>
      </c>
      <c r="H2225" s="3">
        <v>0.0</v>
      </c>
      <c r="I2225" s="2" t="str">
        <f>IFERROR(__xludf.DUMMYFUNCTION("INDEX(SPLIT(A2225, ""/""), 0, 2)"),"regex")</f>
        <v>regex</v>
      </c>
      <c r="J2225" s="2" t="b">
        <f t="shared" si="1"/>
        <v>0</v>
      </c>
    </row>
    <row r="2226">
      <c r="A2226" s="1" t="s">
        <v>1580</v>
      </c>
      <c r="B2226" s="3">
        <v>37.0</v>
      </c>
      <c r="C2226" s="3">
        <v>60.0</v>
      </c>
      <c r="D2226" s="3">
        <v>0.0</v>
      </c>
      <c r="E2226" s="3">
        <v>0.0</v>
      </c>
      <c r="F2226" s="3">
        <v>0.0</v>
      </c>
      <c r="G2226" s="3">
        <v>0.0</v>
      </c>
      <c r="H2226" s="3">
        <v>0.0</v>
      </c>
      <c r="I2226" s="2" t="str">
        <f>IFERROR(__xludf.DUMMYFUNCTION("INDEX(SPLIT(A2226, ""/""), 0, 2)"),"regex")</f>
        <v>regex</v>
      </c>
      <c r="J2226" s="2" t="b">
        <f t="shared" si="1"/>
        <v>0</v>
      </c>
    </row>
    <row r="2227">
      <c r="A2227" s="1" t="s">
        <v>1581</v>
      </c>
      <c r="B2227" s="3">
        <v>46.0</v>
      </c>
      <c r="C2227" s="3">
        <v>60.0</v>
      </c>
      <c r="D2227" s="3">
        <v>0.0</v>
      </c>
      <c r="E2227" s="3">
        <v>0.0</v>
      </c>
      <c r="F2227" s="3">
        <v>0.0</v>
      </c>
      <c r="G2227" s="3">
        <v>0.0</v>
      </c>
      <c r="H2227" s="3">
        <v>0.0</v>
      </c>
      <c r="I2227" s="2" t="str">
        <f>IFERROR(__xludf.DUMMYFUNCTION("INDEX(SPLIT(A2227, ""/""), 0, 2)"),"regex")</f>
        <v>regex</v>
      </c>
      <c r="J2227" s="2" t="b">
        <f t="shared" si="1"/>
        <v>0</v>
      </c>
    </row>
    <row r="2228">
      <c r="A2228" s="1" t="s">
        <v>1582</v>
      </c>
      <c r="B2228" s="3">
        <v>47.0</v>
      </c>
      <c r="C2228" s="3">
        <v>60.0</v>
      </c>
      <c r="D2228" s="3">
        <v>0.0</v>
      </c>
      <c r="E2228" s="3">
        <v>0.0</v>
      </c>
      <c r="F2228" s="3">
        <v>0.0</v>
      </c>
      <c r="G2228" s="3">
        <v>0.0</v>
      </c>
      <c r="H2228" s="3">
        <v>0.0</v>
      </c>
      <c r="I2228" s="2" t="str">
        <f>IFERROR(__xludf.DUMMYFUNCTION("INDEX(SPLIT(A2228, ""/""), 0, 2)"),"regex")</f>
        <v>regex</v>
      </c>
      <c r="J2228" s="2" t="b">
        <f t="shared" si="1"/>
        <v>0</v>
      </c>
    </row>
    <row r="2229">
      <c r="A2229" s="1" t="s">
        <v>1583</v>
      </c>
      <c r="B2229" s="3">
        <v>56.0</v>
      </c>
      <c r="C2229" s="3">
        <v>60.0</v>
      </c>
      <c r="D2229" s="3">
        <v>0.0</v>
      </c>
      <c r="E2229" s="3">
        <v>0.0</v>
      </c>
      <c r="F2229" s="3">
        <v>0.0</v>
      </c>
      <c r="G2229" s="3">
        <v>0.0</v>
      </c>
      <c r="H2229" s="3">
        <v>0.0</v>
      </c>
      <c r="I2229" s="2" t="str">
        <f>IFERROR(__xludf.DUMMYFUNCTION("INDEX(SPLIT(A2229, ""/""), 0, 2)"),"regex")</f>
        <v>regex</v>
      </c>
      <c r="J2229" s="2" t="b">
        <f t="shared" si="1"/>
        <v>0</v>
      </c>
    </row>
    <row r="2230">
      <c r="A2230" s="1" t="s">
        <v>1584</v>
      </c>
      <c r="B2230" s="3">
        <v>44.0</v>
      </c>
      <c r="C2230" s="3">
        <v>60.0</v>
      </c>
      <c r="D2230" s="3">
        <v>0.0</v>
      </c>
      <c r="E2230" s="3">
        <v>0.0</v>
      </c>
      <c r="F2230" s="3">
        <v>0.0</v>
      </c>
      <c r="G2230" s="3">
        <v>0.0</v>
      </c>
      <c r="H2230" s="3">
        <v>0.0</v>
      </c>
      <c r="I2230" s="2" t="str">
        <f>IFERROR(__xludf.DUMMYFUNCTION("INDEX(SPLIT(A2230, ""/""), 0, 2)"),"regex")</f>
        <v>regex</v>
      </c>
      <c r="J2230" s="2" t="b">
        <f t="shared" si="1"/>
        <v>0</v>
      </c>
    </row>
    <row r="2231">
      <c r="A2231" s="1" t="s">
        <v>1585</v>
      </c>
      <c r="B2231" s="3">
        <v>8.0</v>
      </c>
      <c r="C2231" s="3">
        <v>60.0</v>
      </c>
      <c r="D2231" s="3">
        <v>0.0</v>
      </c>
      <c r="E2231" s="3">
        <v>0.0</v>
      </c>
      <c r="F2231" s="3">
        <v>0.0</v>
      </c>
      <c r="G2231" s="3">
        <v>0.0</v>
      </c>
      <c r="H2231" s="3">
        <v>0.0</v>
      </c>
      <c r="I2231" s="2" t="str">
        <f>IFERROR(__xludf.DUMMYFUNCTION("INDEX(SPLIT(A2231, ""/""), 0, 2)"),"regex")</f>
        <v>regex</v>
      </c>
      <c r="J2231" s="2" t="b">
        <f t="shared" si="1"/>
        <v>0</v>
      </c>
    </row>
    <row r="2232">
      <c r="A2232" s="1" t="s">
        <v>1586</v>
      </c>
      <c r="B2232" s="3">
        <v>4.0</v>
      </c>
      <c r="C2232" s="3">
        <v>60.0</v>
      </c>
      <c r="D2232" s="3">
        <v>0.0</v>
      </c>
      <c r="E2232" s="3">
        <v>0.0</v>
      </c>
      <c r="F2232" s="3">
        <v>0.0</v>
      </c>
      <c r="G2232" s="3">
        <v>0.0</v>
      </c>
      <c r="H2232" s="3">
        <v>0.0</v>
      </c>
      <c r="I2232" s="2" t="str">
        <f>IFERROR(__xludf.DUMMYFUNCTION("INDEX(SPLIT(A2232, ""/""), 0, 2)"),"regex")</f>
        <v>regex</v>
      </c>
      <c r="J2232" s="2" t="b">
        <f t="shared" si="1"/>
        <v>0</v>
      </c>
    </row>
    <row r="2233">
      <c r="A2233" s="1" t="s">
        <v>1587</v>
      </c>
      <c r="B2233" s="3">
        <v>29.0</v>
      </c>
      <c r="C2233" s="3">
        <v>60.0</v>
      </c>
      <c r="D2233" s="3">
        <v>0.0</v>
      </c>
      <c r="E2233" s="3">
        <v>0.0</v>
      </c>
      <c r="F2233" s="3">
        <v>0.0</v>
      </c>
      <c r="G2233" s="3">
        <v>0.0</v>
      </c>
      <c r="H2233" s="3">
        <v>0.0</v>
      </c>
      <c r="I2233" s="2" t="str">
        <f>IFERROR(__xludf.DUMMYFUNCTION("INDEX(SPLIT(A2233, ""/""), 0, 2)"),"regex")</f>
        <v>regex</v>
      </c>
      <c r="J2233" s="2" t="b">
        <f t="shared" si="1"/>
        <v>0</v>
      </c>
    </row>
    <row r="2234">
      <c r="A2234" s="1" t="s">
        <v>1588</v>
      </c>
      <c r="B2234" s="3">
        <v>12.0</v>
      </c>
      <c r="C2234" s="3">
        <v>60.0</v>
      </c>
      <c r="D2234" s="3">
        <v>0.0</v>
      </c>
      <c r="E2234" s="3">
        <v>0.0</v>
      </c>
      <c r="F2234" s="3">
        <v>0.0</v>
      </c>
      <c r="G2234" s="3">
        <v>0.0</v>
      </c>
      <c r="H2234" s="3">
        <v>0.0</v>
      </c>
      <c r="I2234" s="2" t="str">
        <f>IFERROR(__xludf.DUMMYFUNCTION("INDEX(SPLIT(A2234, ""/""), 0, 2)"),"regex")</f>
        <v>regex</v>
      </c>
      <c r="J2234" s="2" t="b">
        <f t="shared" si="1"/>
        <v>0</v>
      </c>
    </row>
    <row r="2235">
      <c r="A2235" s="1" t="s">
        <v>1589</v>
      </c>
      <c r="B2235" s="3">
        <v>29.0</v>
      </c>
      <c r="C2235" s="3">
        <v>60.0</v>
      </c>
      <c r="D2235" s="3">
        <v>0.0</v>
      </c>
      <c r="E2235" s="3">
        <v>0.0</v>
      </c>
      <c r="F2235" s="3">
        <v>0.0</v>
      </c>
      <c r="G2235" s="3">
        <v>0.0</v>
      </c>
      <c r="H2235" s="3">
        <v>0.0</v>
      </c>
      <c r="I2235" s="2" t="str">
        <f>IFERROR(__xludf.DUMMYFUNCTION("INDEX(SPLIT(A2235, ""/""), 0, 2)"),"regex")</f>
        <v>regex</v>
      </c>
      <c r="J2235" s="2" t="b">
        <f t="shared" si="1"/>
        <v>0</v>
      </c>
    </row>
    <row r="2236">
      <c r="A2236" s="1" t="s">
        <v>1590</v>
      </c>
      <c r="B2236" s="3">
        <v>72.0</v>
      </c>
      <c r="C2236" s="3">
        <v>60.0</v>
      </c>
      <c r="D2236" s="3">
        <v>0.0</v>
      </c>
      <c r="E2236" s="3">
        <v>0.0</v>
      </c>
      <c r="F2236" s="3">
        <v>0.0</v>
      </c>
      <c r="G2236" s="3">
        <v>0.0</v>
      </c>
      <c r="H2236" s="3">
        <v>0.0</v>
      </c>
      <c r="I2236" s="2" t="str">
        <f>IFERROR(__xludf.DUMMYFUNCTION("INDEX(SPLIT(A2236, ""/""), 0, 2)"),"regex")</f>
        <v>regex</v>
      </c>
      <c r="J2236" s="2" t="b">
        <f t="shared" si="1"/>
        <v>0</v>
      </c>
    </row>
    <row r="2237">
      <c r="A2237" s="1" t="s">
        <v>1591</v>
      </c>
      <c r="B2237" s="3">
        <v>330.0</v>
      </c>
      <c r="C2237" s="3">
        <v>60.0</v>
      </c>
      <c r="D2237" s="3">
        <v>2.0</v>
      </c>
      <c r="E2237" s="3">
        <v>0.0</v>
      </c>
      <c r="F2237" s="3">
        <v>0.0</v>
      </c>
      <c r="G2237" s="3">
        <v>0.0</v>
      </c>
      <c r="H2237" s="3">
        <v>0.0</v>
      </c>
      <c r="I2237" s="2" t="str">
        <f>IFERROR(__xludf.DUMMYFUNCTION("INDEX(SPLIT(A2237, ""/""), 0, 2)"),"regex")</f>
        <v>regex</v>
      </c>
      <c r="J2237" s="2" t="b">
        <f t="shared" si="1"/>
        <v>0</v>
      </c>
    </row>
    <row r="2238">
      <c r="A2238" s="1" t="s">
        <v>1592</v>
      </c>
      <c r="B2238" s="3">
        <v>21.0</v>
      </c>
      <c r="C2238" s="3">
        <v>60.0</v>
      </c>
      <c r="D2238" s="3">
        <v>0.0</v>
      </c>
      <c r="E2238" s="3">
        <v>0.0</v>
      </c>
      <c r="F2238" s="3">
        <v>0.0</v>
      </c>
      <c r="G2238" s="3">
        <v>0.0</v>
      </c>
      <c r="H2238" s="3">
        <v>0.0</v>
      </c>
      <c r="I2238" s="2" t="str">
        <f>IFERROR(__xludf.DUMMYFUNCTION("INDEX(SPLIT(A2238, ""/""), 0, 2)"),"regex")</f>
        <v>regex</v>
      </c>
      <c r="J2238" s="2" t="b">
        <f t="shared" si="1"/>
        <v>0</v>
      </c>
    </row>
    <row r="2239">
      <c r="A2239" s="1" t="s">
        <v>1593</v>
      </c>
      <c r="B2239" s="3">
        <v>102.0</v>
      </c>
      <c r="C2239" s="3">
        <v>60.0</v>
      </c>
      <c r="D2239" s="3">
        <v>0.0</v>
      </c>
      <c r="E2239" s="3">
        <v>0.0</v>
      </c>
      <c r="F2239" s="3">
        <v>0.0</v>
      </c>
      <c r="G2239" s="3">
        <v>0.0</v>
      </c>
      <c r="H2239" s="3">
        <v>0.0</v>
      </c>
      <c r="I2239" s="2" t="str">
        <f>IFERROR(__xludf.DUMMYFUNCTION("INDEX(SPLIT(A2239, ""/""), 0, 2)"),"regex")</f>
        <v>regex</v>
      </c>
      <c r="J2239" s="2" t="b">
        <f t="shared" si="1"/>
        <v>0</v>
      </c>
    </row>
    <row r="2240">
      <c r="A2240" s="1" t="s">
        <v>1594</v>
      </c>
      <c r="B2240" s="3">
        <v>83.0</v>
      </c>
      <c r="C2240" s="3">
        <v>60.0</v>
      </c>
      <c r="D2240" s="3">
        <v>0.0</v>
      </c>
      <c r="E2240" s="3">
        <v>0.0</v>
      </c>
      <c r="F2240" s="3">
        <v>0.0</v>
      </c>
      <c r="G2240" s="3">
        <v>0.0</v>
      </c>
      <c r="H2240" s="3">
        <v>0.0</v>
      </c>
      <c r="I2240" s="2" t="str">
        <f>IFERROR(__xludf.DUMMYFUNCTION("INDEX(SPLIT(A2240, ""/""), 0, 2)"),"regex")</f>
        <v>regex</v>
      </c>
      <c r="J2240" s="2" t="b">
        <f t="shared" si="1"/>
        <v>0</v>
      </c>
    </row>
    <row r="2241">
      <c r="A2241" s="1" t="s">
        <v>1595</v>
      </c>
      <c r="B2241" s="3">
        <v>73.0</v>
      </c>
      <c r="C2241" s="3">
        <v>60.0</v>
      </c>
      <c r="D2241" s="3">
        <v>0.0</v>
      </c>
      <c r="E2241" s="3">
        <v>0.0</v>
      </c>
      <c r="F2241" s="3">
        <v>0.0</v>
      </c>
      <c r="G2241" s="3">
        <v>0.0</v>
      </c>
      <c r="H2241" s="3">
        <v>0.0</v>
      </c>
      <c r="I2241" s="2" t="str">
        <f>IFERROR(__xludf.DUMMYFUNCTION("INDEX(SPLIT(A2241, ""/""), 0, 2)"),"regex")</f>
        <v>regex</v>
      </c>
      <c r="J2241" s="2" t="b">
        <f t="shared" si="1"/>
        <v>0</v>
      </c>
    </row>
    <row r="2242">
      <c r="A2242" s="1" t="s">
        <v>1596</v>
      </c>
      <c r="B2242" s="3">
        <v>18.0</v>
      </c>
      <c r="C2242" s="3">
        <v>60.0</v>
      </c>
      <c r="D2242" s="3">
        <v>0.0</v>
      </c>
      <c r="E2242" s="3">
        <v>0.0</v>
      </c>
      <c r="F2242" s="3">
        <v>0.0</v>
      </c>
      <c r="G2242" s="3">
        <v>0.0</v>
      </c>
      <c r="H2242" s="3">
        <v>0.0</v>
      </c>
      <c r="I2242" s="2" t="str">
        <f>IFERROR(__xludf.DUMMYFUNCTION("INDEX(SPLIT(A2242, ""/""), 0, 2)"),"regex")</f>
        <v>regex</v>
      </c>
      <c r="J2242" s="2" t="b">
        <f t="shared" si="1"/>
        <v>0</v>
      </c>
    </row>
    <row r="2243">
      <c r="A2243" s="1" t="s">
        <v>1597</v>
      </c>
      <c r="B2243" s="3">
        <v>60.0</v>
      </c>
      <c r="C2243" s="3">
        <v>60.0</v>
      </c>
      <c r="D2243" s="3">
        <v>0.0</v>
      </c>
      <c r="E2243" s="3">
        <v>0.0</v>
      </c>
      <c r="F2243" s="3">
        <v>0.0</v>
      </c>
      <c r="G2243" s="3">
        <v>0.0</v>
      </c>
      <c r="H2243" s="3">
        <v>0.0</v>
      </c>
      <c r="I2243" s="2" t="str">
        <f>IFERROR(__xludf.DUMMYFUNCTION("INDEX(SPLIT(A2243, ""/""), 0, 2)"),"regex")</f>
        <v>regex</v>
      </c>
      <c r="J2243" s="2" t="b">
        <f t="shared" si="1"/>
        <v>0</v>
      </c>
    </row>
    <row r="2244">
      <c r="A2244" s="1" t="s">
        <v>1598</v>
      </c>
      <c r="B2244" s="3">
        <v>209.0</v>
      </c>
      <c r="C2244" s="3">
        <v>60.0</v>
      </c>
      <c r="D2244" s="3">
        <v>1.0</v>
      </c>
      <c r="E2244" s="3">
        <v>0.0</v>
      </c>
      <c r="F2244" s="3">
        <v>0.0</v>
      </c>
      <c r="G2244" s="3">
        <v>1.0</v>
      </c>
      <c r="H2244" s="3">
        <v>0.0</v>
      </c>
      <c r="I2244" s="2" t="str">
        <f>IFERROR(__xludf.DUMMYFUNCTION("INDEX(SPLIT(A2244, ""/""), 0, 2)"),"regex")</f>
        <v>regex</v>
      </c>
      <c r="J2244" s="2" t="b">
        <f t="shared" si="1"/>
        <v>0</v>
      </c>
    </row>
    <row r="2245">
      <c r="A2245" s="1" t="s">
        <v>1599</v>
      </c>
      <c r="B2245" s="3">
        <v>22.0</v>
      </c>
      <c r="C2245" s="3">
        <v>60.0</v>
      </c>
      <c r="D2245" s="3">
        <v>0.0</v>
      </c>
      <c r="E2245" s="3">
        <v>0.0</v>
      </c>
      <c r="F2245" s="3">
        <v>0.0</v>
      </c>
      <c r="G2245" s="3">
        <v>0.0</v>
      </c>
      <c r="H2245" s="3">
        <v>0.0</v>
      </c>
      <c r="I2245" s="2" t="str">
        <f>IFERROR(__xludf.DUMMYFUNCTION("INDEX(SPLIT(A2245, ""/""), 0, 2)"),"regex")</f>
        <v>regex</v>
      </c>
      <c r="J2245" s="2" t="b">
        <f t="shared" si="1"/>
        <v>0</v>
      </c>
    </row>
    <row r="2246">
      <c r="A2246" s="1" t="s">
        <v>1600</v>
      </c>
      <c r="B2246" s="3">
        <v>52.0</v>
      </c>
      <c r="C2246" s="3">
        <v>60.0</v>
      </c>
      <c r="D2246" s="3">
        <v>0.0</v>
      </c>
      <c r="E2246" s="3">
        <v>0.0</v>
      </c>
      <c r="F2246" s="3">
        <v>0.0</v>
      </c>
      <c r="G2246" s="3">
        <v>0.0</v>
      </c>
      <c r="H2246" s="3">
        <v>0.0</v>
      </c>
      <c r="I2246" s="2" t="str">
        <f>IFERROR(__xludf.DUMMYFUNCTION("INDEX(SPLIT(A2246, ""/""), 0, 2)"),"regex")</f>
        <v>regex</v>
      </c>
      <c r="J2246" s="2" t="b">
        <f t="shared" si="1"/>
        <v>0</v>
      </c>
    </row>
    <row r="2247">
      <c r="A2247" s="1" t="s">
        <v>1601</v>
      </c>
      <c r="B2247" s="3">
        <v>858.0</v>
      </c>
      <c r="C2247" s="3">
        <v>60.0</v>
      </c>
      <c r="D2247" s="3">
        <v>31.0</v>
      </c>
      <c r="E2247" s="3">
        <v>2.0</v>
      </c>
      <c r="F2247" s="3">
        <v>1.0</v>
      </c>
      <c r="G2247" s="3">
        <v>2.0</v>
      </c>
      <c r="H2247" s="3">
        <v>0.0</v>
      </c>
      <c r="I2247" s="2" t="str">
        <f>IFERROR(__xludf.DUMMYFUNCTION("INDEX(SPLIT(A2247, ""/""), 0, 2)"),"regex")</f>
        <v>regex</v>
      </c>
      <c r="J2247" s="2" t="b">
        <f t="shared" si="1"/>
        <v>1</v>
      </c>
    </row>
    <row r="2248">
      <c r="A2248" s="1" t="s">
        <v>1602</v>
      </c>
      <c r="B2248" s="3">
        <v>31.0</v>
      </c>
      <c r="C2248" s="3">
        <v>60.0</v>
      </c>
      <c r="D2248" s="3">
        <v>0.0</v>
      </c>
      <c r="E2248" s="3">
        <v>0.0</v>
      </c>
      <c r="F2248" s="3">
        <v>0.0</v>
      </c>
      <c r="G2248" s="3">
        <v>0.0</v>
      </c>
      <c r="H2248" s="3">
        <v>0.0</v>
      </c>
      <c r="I2248" s="2" t="str">
        <f>IFERROR(__xludf.DUMMYFUNCTION("INDEX(SPLIT(A2248, ""/""), 0, 2)"),"regex")</f>
        <v>regex</v>
      </c>
      <c r="J2248" s="2" t="b">
        <f t="shared" si="1"/>
        <v>0</v>
      </c>
    </row>
    <row r="2249">
      <c r="A2249" s="1" t="s">
        <v>1603</v>
      </c>
      <c r="B2249" s="3">
        <v>22.0</v>
      </c>
      <c r="C2249" s="3">
        <v>60.0</v>
      </c>
      <c r="D2249" s="3">
        <v>0.0</v>
      </c>
      <c r="E2249" s="3">
        <v>0.0</v>
      </c>
      <c r="F2249" s="3">
        <v>0.0</v>
      </c>
      <c r="G2249" s="3">
        <v>0.0</v>
      </c>
      <c r="H2249" s="3">
        <v>0.0</v>
      </c>
      <c r="I2249" s="2" t="str">
        <f>IFERROR(__xludf.DUMMYFUNCTION("INDEX(SPLIT(A2249, ""/""), 0, 2)"),"regex")</f>
        <v>regex</v>
      </c>
      <c r="J2249" s="2" t="b">
        <f t="shared" si="1"/>
        <v>0</v>
      </c>
    </row>
    <row r="2250">
      <c r="A2250" s="1" t="s">
        <v>1604</v>
      </c>
      <c r="B2250" s="3">
        <v>20.0</v>
      </c>
      <c r="C2250" s="3">
        <v>60.0</v>
      </c>
      <c r="D2250" s="3">
        <v>0.0</v>
      </c>
      <c r="E2250" s="3">
        <v>0.0</v>
      </c>
      <c r="F2250" s="3">
        <v>0.0</v>
      </c>
      <c r="G2250" s="3">
        <v>0.0</v>
      </c>
      <c r="H2250" s="3">
        <v>0.0</v>
      </c>
      <c r="I2250" s="2" t="str">
        <f>IFERROR(__xludf.DUMMYFUNCTION("INDEX(SPLIT(A2250, ""/""), 0, 2)"),"regex")</f>
        <v>regex</v>
      </c>
      <c r="J2250" s="2" t="b">
        <f t="shared" si="1"/>
        <v>0</v>
      </c>
    </row>
    <row r="2251">
      <c r="A2251" s="1" t="s">
        <v>1605</v>
      </c>
      <c r="B2251" s="3">
        <v>5.0</v>
      </c>
      <c r="C2251" s="3">
        <v>60.0</v>
      </c>
      <c r="D2251" s="3">
        <v>0.0</v>
      </c>
      <c r="E2251" s="3">
        <v>0.0</v>
      </c>
      <c r="F2251" s="3">
        <v>0.0</v>
      </c>
      <c r="G2251" s="3">
        <v>0.0</v>
      </c>
      <c r="H2251" s="3">
        <v>0.0</v>
      </c>
      <c r="I2251" s="2" t="str">
        <f>IFERROR(__xludf.DUMMYFUNCTION("INDEX(SPLIT(A2251, ""/""), 0, 2)"),"regex")</f>
        <v>regex</v>
      </c>
      <c r="J2251" s="2" t="b">
        <f t="shared" si="1"/>
        <v>0</v>
      </c>
    </row>
    <row r="2252">
      <c r="A2252" s="1" t="s">
        <v>1606</v>
      </c>
      <c r="B2252" s="3">
        <v>28.0</v>
      </c>
      <c r="C2252" s="3">
        <v>60.0</v>
      </c>
      <c r="D2252" s="3">
        <v>0.0</v>
      </c>
      <c r="E2252" s="3">
        <v>0.0</v>
      </c>
      <c r="F2252" s="3">
        <v>0.0</v>
      </c>
      <c r="G2252" s="3">
        <v>0.0</v>
      </c>
      <c r="H2252" s="3">
        <v>0.0</v>
      </c>
      <c r="I2252" s="2" t="str">
        <f>IFERROR(__xludf.DUMMYFUNCTION("INDEX(SPLIT(A2252, ""/""), 0, 2)"),"regex")</f>
        <v>regex</v>
      </c>
      <c r="J2252" s="2" t="b">
        <f t="shared" si="1"/>
        <v>0</v>
      </c>
    </row>
    <row r="2253">
      <c r="A2253" s="1" t="s">
        <v>1607</v>
      </c>
      <c r="B2253" s="3">
        <v>10.0</v>
      </c>
      <c r="C2253" s="3">
        <v>60.0</v>
      </c>
      <c r="D2253" s="3">
        <v>0.0</v>
      </c>
      <c r="E2253" s="3">
        <v>0.0</v>
      </c>
      <c r="F2253" s="3">
        <v>0.0</v>
      </c>
      <c r="G2253" s="3">
        <v>0.0</v>
      </c>
      <c r="H2253" s="3">
        <v>0.0</v>
      </c>
      <c r="I2253" s="2" t="str">
        <f>IFERROR(__xludf.DUMMYFUNCTION("INDEX(SPLIT(A2253, ""/""), 0, 2)"),"regex")</f>
        <v>regex</v>
      </c>
      <c r="J2253" s="2" t="b">
        <f t="shared" si="1"/>
        <v>0</v>
      </c>
    </row>
    <row r="2254">
      <c r="A2254" s="1" t="s">
        <v>1608</v>
      </c>
      <c r="B2254" s="3">
        <v>986.0</v>
      </c>
      <c r="C2254" s="3">
        <v>60.0</v>
      </c>
      <c r="D2254" s="3">
        <v>47.0</v>
      </c>
      <c r="E2254" s="3">
        <v>0.0</v>
      </c>
      <c r="F2254" s="3">
        <v>1.0</v>
      </c>
      <c r="G2254" s="3">
        <v>2.0</v>
      </c>
      <c r="H2254" s="3">
        <v>0.0</v>
      </c>
      <c r="I2254" s="2" t="str">
        <f>IFERROR(__xludf.DUMMYFUNCTION("INDEX(SPLIT(A2254, ""/""), 0, 2)"),"regex")</f>
        <v>regex</v>
      </c>
      <c r="J2254" s="2" t="b">
        <f t="shared" si="1"/>
        <v>1</v>
      </c>
    </row>
    <row r="2255">
      <c r="A2255" s="1" t="s">
        <v>1609</v>
      </c>
      <c r="B2255" s="3">
        <v>55.0</v>
      </c>
      <c r="C2255" s="3">
        <v>60.0</v>
      </c>
      <c r="D2255" s="3">
        <v>0.0</v>
      </c>
      <c r="E2255" s="3">
        <v>0.0</v>
      </c>
      <c r="F2255" s="3">
        <v>0.0</v>
      </c>
      <c r="G2255" s="3">
        <v>0.0</v>
      </c>
      <c r="H2255" s="3">
        <v>0.0</v>
      </c>
      <c r="I2255" s="2" t="str">
        <f>IFERROR(__xludf.DUMMYFUNCTION("INDEX(SPLIT(A2255, ""/""), 0, 2)"),"regex")</f>
        <v>regex</v>
      </c>
      <c r="J2255" s="2" t="b">
        <f t="shared" si="1"/>
        <v>0</v>
      </c>
    </row>
    <row r="2256">
      <c r="A2256" s="1" t="s">
        <v>1610</v>
      </c>
      <c r="B2256" s="3">
        <v>39.0</v>
      </c>
      <c r="C2256" s="3">
        <v>60.0</v>
      </c>
      <c r="D2256" s="3">
        <v>0.0</v>
      </c>
      <c r="E2256" s="3">
        <v>0.0</v>
      </c>
      <c r="F2256" s="3">
        <v>0.0</v>
      </c>
      <c r="G2256" s="3">
        <v>0.0</v>
      </c>
      <c r="H2256" s="3">
        <v>0.0</v>
      </c>
      <c r="I2256" s="2" t="str">
        <f>IFERROR(__xludf.DUMMYFUNCTION("INDEX(SPLIT(A2256, ""/""), 0, 2)"),"regex")</f>
        <v>regex</v>
      </c>
      <c r="J2256" s="2" t="b">
        <f t="shared" si="1"/>
        <v>0</v>
      </c>
    </row>
    <row r="2257">
      <c r="A2257" s="1" t="s">
        <v>1611</v>
      </c>
      <c r="B2257" s="3">
        <v>58.0</v>
      </c>
      <c r="C2257" s="3">
        <v>60.0</v>
      </c>
      <c r="D2257" s="3">
        <v>0.0</v>
      </c>
      <c r="E2257" s="3">
        <v>0.0</v>
      </c>
      <c r="F2257" s="3">
        <v>0.0</v>
      </c>
      <c r="G2257" s="3">
        <v>0.0</v>
      </c>
      <c r="H2257" s="3">
        <v>0.0</v>
      </c>
      <c r="I2257" s="2" t="str">
        <f>IFERROR(__xludf.DUMMYFUNCTION("INDEX(SPLIT(A2257, ""/""), 0, 2)"),"regex")</f>
        <v>regex</v>
      </c>
      <c r="J2257" s="2" t="b">
        <f t="shared" si="1"/>
        <v>0</v>
      </c>
    </row>
    <row r="2258">
      <c r="A2258" s="1" t="s">
        <v>1612</v>
      </c>
      <c r="B2258" s="3">
        <v>44.0</v>
      </c>
      <c r="C2258" s="3">
        <v>60.0</v>
      </c>
      <c r="D2258" s="3">
        <v>0.0</v>
      </c>
      <c r="E2258" s="3">
        <v>0.0</v>
      </c>
      <c r="F2258" s="3">
        <v>0.0</v>
      </c>
      <c r="G2258" s="3">
        <v>0.0</v>
      </c>
      <c r="H2258" s="3">
        <v>0.0</v>
      </c>
      <c r="I2258" s="2" t="str">
        <f>IFERROR(__xludf.DUMMYFUNCTION("INDEX(SPLIT(A2258, ""/""), 0, 2)"),"regex")</f>
        <v>regex</v>
      </c>
      <c r="J2258" s="2" t="b">
        <f t="shared" si="1"/>
        <v>0</v>
      </c>
    </row>
    <row r="2259">
      <c r="A2259" s="1" t="s">
        <v>1613</v>
      </c>
      <c r="B2259" s="3">
        <v>32.0</v>
      </c>
      <c r="C2259" s="3">
        <v>60.0</v>
      </c>
      <c r="D2259" s="3">
        <v>0.0</v>
      </c>
      <c r="E2259" s="3">
        <v>0.0</v>
      </c>
      <c r="F2259" s="3">
        <v>0.0</v>
      </c>
      <c r="G2259" s="3">
        <v>0.0</v>
      </c>
      <c r="H2259" s="3">
        <v>0.0</v>
      </c>
      <c r="I2259" s="2" t="str">
        <f>IFERROR(__xludf.DUMMYFUNCTION("INDEX(SPLIT(A2259, ""/""), 0, 2)"),"regex")</f>
        <v>regex</v>
      </c>
      <c r="J2259" s="2" t="b">
        <f t="shared" si="1"/>
        <v>0</v>
      </c>
    </row>
    <row r="2260">
      <c r="A2260" s="1" t="s">
        <v>1614</v>
      </c>
      <c r="B2260" s="3">
        <v>44.0</v>
      </c>
      <c r="C2260" s="3">
        <v>60.0</v>
      </c>
      <c r="D2260" s="3">
        <v>0.0</v>
      </c>
      <c r="E2260" s="3">
        <v>0.0</v>
      </c>
      <c r="F2260" s="3">
        <v>0.0</v>
      </c>
      <c r="G2260" s="3">
        <v>0.0</v>
      </c>
      <c r="H2260" s="3">
        <v>0.0</v>
      </c>
      <c r="I2260" s="2" t="str">
        <f>IFERROR(__xludf.DUMMYFUNCTION("INDEX(SPLIT(A2260, ""/""), 0, 2)"),"regex")</f>
        <v>regex</v>
      </c>
      <c r="J2260" s="2" t="b">
        <f t="shared" si="1"/>
        <v>0</v>
      </c>
    </row>
    <row r="2261">
      <c r="A2261" s="1" t="s">
        <v>1615</v>
      </c>
      <c r="B2261" s="3">
        <v>30.0</v>
      </c>
      <c r="C2261" s="3">
        <v>60.0</v>
      </c>
      <c r="D2261" s="3">
        <v>0.0</v>
      </c>
      <c r="E2261" s="3">
        <v>0.0</v>
      </c>
      <c r="F2261" s="3">
        <v>0.0</v>
      </c>
      <c r="G2261" s="3">
        <v>0.0</v>
      </c>
      <c r="H2261" s="3">
        <v>0.0</v>
      </c>
      <c r="I2261" s="2" t="str">
        <f>IFERROR(__xludf.DUMMYFUNCTION("INDEX(SPLIT(A2261, ""/""), 0, 2)"),"regex")</f>
        <v>regex</v>
      </c>
      <c r="J2261" s="2" t="b">
        <f t="shared" si="1"/>
        <v>0</v>
      </c>
    </row>
    <row r="2262">
      <c r="A2262" s="1" t="s">
        <v>1616</v>
      </c>
      <c r="B2262" s="3">
        <v>10.0</v>
      </c>
      <c r="C2262" s="3">
        <v>60.0</v>
      </c>
      <c r="D2262" s="3">
        <v>0.0</v>
      </c>
      <c r="E2262" s="3">
        <v>0.0</v>
      </c>
      <c r="F2262" s="3">
        <v>0.0</v>
      </c>
      <c r="G2262" s="3">
        <v>0.0</v>
      </c>
      <c r="H2262" s="3">
        <v>0.0</v>
      </c>
      <c r="I2262" s="2" t="str">
        <f>IFERROR(__xludf.DUMMYFUNCTION("INDEX(SPLIT(A2262, ""/""), 0, 2)"),"regex")</f>
        <v>regex</v>
      </c>
      <c r="J2262" s="2" t="b">
        <f t="shared" si="1"/>
        <v>0</v>
      </c>
    </row>
    <row r="2263">
      <c r="A2263" s="1" t="s">
        <v>1617</v>
      </c>
      <c r="B2263" s="3">
        <v>86.0</v>
      </c>
      <c r="C2263" s="3">
        <v>60.0</v>
      </c>
      <c r="D2263" s="3">
        <v>0.0</v>
      </c>
      <c r="E2263" s="3">
        <v>0.0</v>
      </c>
      <c r="F2263" s="3">
        <v>0.0</v>
      </c>
      <c r="G2263" s="3">
        <v>0.0</v>
      </c>
      <c r="H2263" s="3">
        <v>0.0</v>
      </c>
      <c r="I2263" s="2" t="str">
        <f>IFERROR(__xludf.DUMMYFUNCTION("INDEX(SPLIT(A2263, ""/""), 0, 2)"),"regex")</f>
        <v>regex</v>
      </c>
      <c r="J2263" s="2" t="b">
        <f t="shared" si="1"/>
        <v>0</v>
      </c>
    </row>
    <row r="2264">
      <c r="A2264" s="1" t="s">
        <v>1618</v>
      </c>
      <c r="B2264" s="3">
        <v>24.0</v>
      </c>
      <c r="C2264" s="3">
        <v>60.0</v>
      </c>
      <c r="D2264" s="3">
        <v>0.0</v>
      </c>
      <c r="E2264" s="3">
        <v>0.0</v>
      </c>
      <c r="F2264" s="3">
        <v>0.0</v>
      </c>
      <c r="G2264" s="3">
        <v>0.0</v>
      </c>
      <c r="H2264" s="3">
        <v>0.0</v>
      </c>
      <c r="I2264" s="2" t="str">
        <f>IFERROR(__xludf.DUMMYFUNCTION("INDEX(SPLIT(A2264, ""/""), 0, 2)"),"regex")</f>
        <v>regex</v>
      </c>
      <c r="J2264" s="2" t="b">
        <f t="shared" si="1"/>
        <v>0</v>
      </c>
    </row>
    <row r="2265">
      <c r="A2265" s="1" t="s">
        <v>1619</v>
      </c>
      <c r="B2265" s="3">
        <v>21.0</v>
      </c>
      <c r="C2265" s="3">
        <v>60.0</v>
      </c>
      <c r="D2265" s="3">
        <v>0.0</v>
      </c>
      <c r="E2265" s="3">
        <v>0.0</v>
      </c>
      <c r="F2265" s="3">
        <v>0.0</v>
      </c>
      <c r="G2265" s="3">
        <v>0.0</v>
      </c>
      <c r="H2265" s="3">
        <v>0.0</v>
      </c>
      <c r="I2265" s="2" t="str">
        <f>IFERROR(__xludf.DUMMYFUNCTION("INDEX(SPLIT(A2265, ""/""), 0, 2)"),"regex")</f>
        <v>regex</v>
      </c>
      <c r="J2265" s="2" t="b">
        <f t="shared" si="1"/>
        <v>0</v>
      </c>
    </row>
    <row r="2266">
      <c r="A2266" s="1" t="s">
        <v>1620</v>
      </c>
      <c r="B2266" s="3">
        <v>32.0</v>
      </c>
      <c r="C2266" s="3">
        <v>60.0</v>
      </c>
      <c r="D2266" s="3">
        <v>0.0</v>
      </c>
      <c r="E2266" s="3">
        <v>0.0</v>
      </c>
      <c r="F2266" s="3">
        <v>0.0</v>
      </c>
      <c r="G2266" s="3">
        <v>0.0</v>
      </c>
      <c r="H2266" s="3">
        <v>0.0</v>
      </c>
      <c r="I2266" s="2" t="str">
        <f>IFERROR(__xludf.DUMMYFUNCTION("INDEX(SPLIT(A2266, ""/""), 0, 2)"),"regex")</f>
        <v>regex</v>
      </c>
      <c r="J2266" s="2" t="b">
        <f t="shared" si="1"/>
        <v>0</v>
      </c>
    </row>
    <row r="2267">
      <c r="A2267" s="1" t="s">
        <v>1621</v>
      </c>
      <c r="B2267" s="3">
        <v>40.0</v>
      </c>
      <c r="C2267" s="3">
        <v>60.0</v>
      </c>
      <c r="D2267" s="3">
        <v>0.0</v>
      </c>
      <c r="E2267" s="3">
        <v>0.0</v>
      </c>
      <c r="F2267" s="3">
        <v>0.0</v>
      </c>
      <c r="G2267" s="3">
        <v>0.0</v>
      </c>
      <c r="H2267" s="3">
        <v>0.0</v>
      </c>
      <c r="I2267" s="2" t="str">
        <f>IFERROR(__xludf.DUMMYFUNCTION("INDEX(SPLIT(A2267, ""/""), 0, 2)"),"regex")</f>
        <v>regex</v>
      </c>
      <c r="J2267" s="2" t="b">
        <f t="shared" si="1"/>
        <v>0</v>
      </c>
    </row>
    <row r="2268">
      <c r="A2268" s="1" t="s">
        <v>1622</v>
      </c>
      <c r="B2268" s="3">
        <v>47.0</v>
      </c>
      <c r="C2268" s="3">
        <v>60.0</v>
      </c>
      <c r="D2268" s="3">
        <v>0.0</v>
      </c>
      <c r="E2268" s="3">
        <v>0.0</v>
      </c>
      <c r="F2268" s="3">
        <v>0.0</v>
      </c>
      <c r="G2268" s="3">
        <v>0.0</v>
      </c>
      <c r="H2268" s="3">
        <v>0.0</v>
      </c>
      <c r="I2268" s="2" t="str">
        <f>IFERROR(__xludf.DUMMYFUNCTION("INDEX(SPLIT(A2268, ""/""), 0, 2)"),"regex")</f>
        <v>regex</v>
      </c>
      <c r="J2268" s="2" t="b">
        <f t="shared" si="1"/>
        <v>0</v>
      </c>
    </row>
    <row r="2269">
      <c r="A2269" s="1" t="s">
        <v>1623</v>
      </c>
      <c r="B2269" s="3">
        <v>12.0</v>
      </c>
      <c r="C2269" s="3">
        <v>60.0</v>
      </c>
      <c r="D2269" s="3">
        <v>0.0</v>
      </c>
      <c r="E2269" s="3">
        <v>0.0</v>
      </c>
      <c r="F2269" s="3">
        <v>0.0</v>
      </c>
      <c r="G2269" s="3">
        <v>0.0</v>
      </c>
      <c r="H2269" s="3">
        <v>0.0</v>
      </c>
      <c r="I2269" s="2" t="str">
        <f>IFERROR(__xludf.DUMMYFUNCTION("INDEX(SPLIT(A2269, ""/""), 0, 2)"),"regex")</f>
        <v>regex</v>
      </c>
      <c r="J2269" s="2" t="b">
        <f t="shared" si="1"/>
        <v>0</v>
      </c>
    </row>
    <row r="2270">
      <c r="A2270" s="1" t="s">
        <v>1624</v>
      </c>
      <c r="B2270" s="3">
        <v>22.0</v>
      </c>
      <c r="C2270" s="3">
        <v>60.0</v>
      </c>
      <c r="D2270" s="3">
        <v>0.0</v>
      </c>
      <c r="E2270" s="3">
        <v>0.0</v>
      </c>
      <c r="F2270" s="3">
        <v>0.0</v>
      </c>
      <c r="G2270" s="3">
        <v>0.0</v>
      </c>
      <c r="H2270" s="3">
        <v>0.0</v>
      </c>
      <c r="I2270" s="2" t="str">
        <f>IFERROR(__xludf.DUMMYFUNCTION("INDEX(SPLIT(A2270, ""/""), 0, 2)"),"regex")</f>
        <v>regex</v>
      </c>
      <c r="J2270" s="2" t="b">
        <f t="shared" si="1"/>
        <v>0</v>
      </c>
    </row>
    <row r="2271">
      <c r="A2271" s="1" t="s">
        <v>1625</v>
      </c>
      <c r="B2271" s="3">
        <v>24.0</v>
      </c>
      <c r="C2271" s="3">
        <v>60.0</v>
      </c>
      <c r="D2271" s="3">
        <v>0.0</v>
      </c>
      <c r="E2271" s="3">
        <v>0.0</v>
      </c>
      <c r="F2271" s="3">
        <v>0.0</v>
      </c>
      <c r="G2271" s="3">
        <v>0.0</v>
      </c>
      <c r="H2271" s="3">
        <v>0.0</v>
      </c>
      <c r="I2271" s="2" t="str">
        <f>IFERROR(__xludf.DUMMYFUNCTION("INDEX(SPLIT(A2271, ""/""), 0, 2)"),"regex")</f>
        <v>regex</v>
      </c>
      <c r="J2271" s="2" t="b">
        <f t="shared" si="1"/>
        <v>0</v>
      </c>
    </row>
    <row r="2272">
      <c r="A2272" s="1" t="s">
        <v>1626</v>
      </c>
      <c r="B2272" s="3">
        <v>35.0</v>
      </c>
      <c r="C2272" s="3">
        <v>60.0</v>
      </c>
      <c r="D2272" s="3">
        <v>0.0</v>
      </c>
      <c r="E2272" s="3">
        <v>0.0</v>
      </c>
      <c r="F2272" s="3">
        <v>0.0</v>
      </c>
      <c r="G2272" s="3">
        <v>0.0</v>
      </c>
      <c r="H2272" s="3">
        <v>0.0</v>
      </c>
      <c r="I2272" s="2" t="str">
        <f>IFERROR(__xludf.DUMMYFUNCTION("INDEX(SPLIT(A2272, ""/""), 0, 2)"),"regex")</f>
        <v>regex</v>
      </c>
      <c r="J2272" s="2" t="b">
        <f t="shared" si="1"/>
        <v>0</v>
      </c>
    </row>
    <row r="2273">
      <c r="A2273" s="1" t="s">
        <v>1627</v>
      </c>
      <c r="B2273" s="3">
        <v>101.0</v>
      </c>
      <c r="C2273" s="3">
        <v>60.0</v>
      </c>
      <c r="D2273" s="3">
        <v>0.0</v>
      </c>
      <c r="E2273" s="3">
        <v>0.0</v>
      </c>
      <c r="F2273" s="3">
        <v>0.0</v>
      </c>
      <c r="G2273" s="3">
        <v>0.0</v>
      </c>
      <c r="H2273" s="3">
        <v>0.0</v>
      </c>
      <c r="I2273" s="2" t="str">
        <f>IFERROR(__xludf.DUMMYFUNCTION("INDEX(SPLIT(A2273, ""/""), 0, 2)"),"regex")</f>
        <v>regex</v>
      </c>
      <c r="J2273" s="2" t="b">
        <f t="shared" si="1"/>
        <v>0</v>
      </c>
    </row>
    <row r="2274">
      <c r="A2274" s="1" t="s">
        <v>1628</v>
      </c>
      <c r="B2274" s="3">
        <v>108.0</v>
      </c>
      <c r="C2274" s="3">
        <v>60.0</v>
      </c>
      <c r="D2274" s="3">
        <v>0.0</v>
      </c>
      <c r="E2274" s="3">
        <v>0.0</v>
      </c>
      <c r="F2274" s="3">
        <v>0.0</v>
      </c>
      <c r="G2274" s="3">
        <v>0.0</v>
      </c>
      <c r="H2274" s="3">
        <v>0.0</v>
      </c>
      <c r="I2274" s="2" t="str">
        <f>IFERROR(__xludf.DUMMYFUNCTION("INDEX(SPLIT(A2274, ""/""), 0, 2)"),"regex")</f>
        <v>regex</v>
      </c>
      <c r="J2274" s="2" t="b">
        <f t="shared" si="1"/>
        <v>0</v>
      </c>
    </row>
    <row r="2275">
      <c r="A2275" s="1" t="s">
        <v>1629</v>
      </c>
      <c r="B2275" s="3">
        <v>146.0</v>
      </c>
      <c r="C2275" s="3">
        <v>60.0</v>
      </c>
      <c r="D2275" s="3">
        <v>1.0</v>
      </c>
      <c r="E2275" s="3">
        <v>0.0</v>
      </c>
      <c r="F2275" s="3">
        <v>0.0</v>
      </c>
      <c r="G2275" s="3">
        <v>0.0</v>
      </c>
      <c r="H2275" s="3">
        <v>0.0</v>
      </c>
      <c r="I2275" s="2" t="str">
        <f>IFERROR(__xludf.DUMMYFUNCTION("INDEX(SPLIT(A2275, ""/""), 0, 2)"),"regex")</f>
        <v>regex</v>
      </c>
      <c r="J2275" s="2" t="b">
        <f t="shared" si="1"/>
        <v>0</v>
      </c>
    </row>
    <row r="2276">
      <c r="A2276" s="1" t="s">
        <v>1630</v>
      </c>
      <c r="B2276" s="3">
        <v>38.0</v>
      </c>
      <c r="C2276" s="3">
        <v>60.0</v>
      </c>
      <c r="D2276" s="3">
        <v>0.0</v>
      </c>
      <c r="E2276" s="3">
        <v>0.0</v>
      </c>
      <c r="F2276" s="3">
        <v>0.0</v>
      </c>
      <c r="G2276" s="3">
        <v>0.0</v>
      </c>
      <c r="H2276" s="3">
        <v>0.0</v>
      </c>
      <c r="I2276" s="2" t="str">
        <f>IFERROR(__xludf.DUMMYFUNCTION("INDEX(SPLIT(A2276, ""/""), 0, 2)"),"regex")</f>
        <v>regex</v>
      </c>
      <c r="J2276" s="2" t="b">
        <f t="shared" si="1"/>
        <v>0</v>
      </c>
    </row>
    <row r="2277">
      <c r="A2277" s="1" t="s">
        <v>1631</v>
      </c>
      <c r="B2277" s="3">
        <v>4.0</v>
      </c>
      <c r="C2277" s="3">
        <v>60.0</v>
      </c>
      <c r="D2277" s="3">
        <v>0.0</v>
      </c>
      <c r="E2277" s="3">
        <v>0.0</v>
      </c>
      <c r="F2277" s="3">
        <v>0.0</v>
      </c>
      <c r="G2277" s="3">
        <v>0.0</v>
      </c>
      <c r="H2277" s="3">
        <v>0.0</v>
      </c>
      <c r="I2277" s="2" t="str">
        <f>IFERROR(__xludf.DUMMYFUNCTION("INDEX(SPLIT(A2277, ""/""), 0, 2)"),"regex")</f>
        <v>regex</v>
      </c>
      <c r="J2277" s="2" t="b">
        <f t="shared" si="1"/>
        <v>0</v>
      </c>
    </row>
    <row r="2278">
      <c r="A2278" s="1" t="s">
        <v>1632</v>
      </c>
      <c r="B2278" s="3">
        <v>36.0</v>
      </c>
      <c r="C2278" s="3">
        <v>60.0</v>
      </c>
      <c r="D2278" s="3">
        <v>0.0</v>
      </c>
      <c r="E2278" s="3">
        <v>0.0</v>
      </c>
      <c r="F2278" s="3">
        <v>0.0</v>
      </c>
      <c r="G2278" s="3">
        <v>0.0</v>
      </c>
      <c r="H2278" s="3">
        <v>0.0</v>
      </c>
      <c r="I2278" s="2" t="str">
        <f>IFERROR(__xludf.DUMMYFUNCTION("INDEX(SPLIT(A2278, ""/""), 0, 2)"),"regex")</f>
        <v>regex</v>
      </c>
      <c r="J2278" s="2" t="b">
        <f t="shared" si="1"/>
        <v>0</v>
      </c>
    </row>
    <row r="2279">
      <c r="A2279" s="1" t="s">
        <v>1633</v>
      </c>
      <c r="B2279" s="3">
        <v>71.0</v>
      </c>
      <c r="C2279" s="3">
        <v>60.0</v>
      </c>
      <c r="D2279" s="3">
        <v>0.0</v>
      </c>
      <c r="E2279" s="3">
        <v>0.0</v>
      </c>
      <c r="F2279" s="3">
        <v>0.0</v>
      </c>
      <c r="G2279" s="3">
        <v>0.0</v>
      </c>
      <c r="H2279" s="3">
        <v>0.0</v>
      </c>
      <c r="I2279" s="2" t="str">
        <f>IFERROR(__xludf.DUMMYFUNCTION("INDEX(SPLIT(A2279, ""/""), 0, 2)"),"regex")</f>
        <v>regex</v>
      </c>
      <c r="J2279" s="2" t="b">
        <f t="shared" si="1"/>
        <v>0</v>
      </c>
    </row>
    <row r="2280">
      <c r="A2280" s="1" t="s">
        <v>1634</v>
      </c>
      <c r="B2280" s="3">
        <v>32.0</v>
      </c>
      <c r="C2280" s="3">
        <v>60.0</v>
      </c>
      <c r="D2280" s="3">
        <v>0.0</v>
      </c>
      <c r="E2280" s="3">
        <v>0.0</v>
      </c>
      <c r="F2280" s="3">
        <v>0.0</v>
      </c>
      <c r="G2280" s="3">
        <v>0.0</v>
      </c>
      <c r="H2280" s="3">
        <v>0.0</v>
      </c>
      <c r="I2280" s="2" t="str">
        <f>IFERROR(__xludf.DUMMYFUNCTION("INDEX(SPLIT(A2280, ""/""), 0, 2)"),"regex")</f>
        <v>regex</v>
      </c>
      <c r="J2280" s="2" t="b">
        <f t="shared" si="1"/>
        <v>0</v>
      </c>
    </row>
    <row r="2281">
      <c r="A2281" s="1" t="s">
        <v>1635</v>
      </c>
      <c r="B2281" s="3">
        <v>16.0</v>
      </c>
      <c r="C2281" s="3">
        <v>60.0</v>
      </c>
      <c r="D2281" s="3">
        <v>0.0</v>
      </c>
      <c r="E2281" s="3">
        <v>0.0</v>
      </c>
      <c r="F2281" s="3">
        <v>0.0</v>
      </c>
      <c r="G2281" s="3">
        <v>0.0</v>
      </c>
      <c r="H2281" s="3">
        <v>0.0</v>
      </c>
      <c r="I2281" s="2" t="str">
        <f>IFERROR(__xludf.DUMMYFUNCTION("INDEX(SPLIT(A2281, ""/""), 0, 2)"),"regex")</f>
        <v>regex</v>
      </c>
      <c r="J2281" s="2" t="b">
        <f t="shared" si="1"/>
        <v>0</v>
      </c>
    </row>
    <row r="2282">
      <c r="A2282" s="1" t="s">
        <v>1636</v>
      </c>
      <c r="B2282" s="3">
        <v>35.0</v>
      </c>
      <c r="C2282" s="3">
        <v>60.0</v>
      </c>
      <c r="D2282" s="3">
        <v>0.0</v>
      </c>
      <c r="E2282" s="3">
        <v>0.0</v>
      </c>
      <c r="F2282" s="3">
        <v>0.0</v>
      </c>
      <c r="G2282" s="3">
        <v>0.0</v>
      </c>
      <c r="H2282" s="3">
        <v>0.0</v>
      </c>
      <c r="I2282" s="2" t="str">
        <f>IFERROR(__xludf.DUMMYFUNCTION("INDEX(SPLIT(A2282, ""/""), 0, 2)"),"regex")</f>
        <v>regex</v>
      </c>
      <c r="J2282" s="2" t="b">
        <f t="shared" si="1"/>
        <v>0</v>
      </c>
    </row>
    <row r="2283">
      <c r="A2283" s="1" t="s">
        <v>1637</v>
      </c>
      <c r="B2283" s="3">
        <v>49.0</v>
      </c>
      <c r="C2283" s="3">
        <v>60.0</v>
      </c>
      <c r="D2283" s="3">
        <v>0.0</v>
      </c>
      <c r="E2283" s="3">
        <v>0.0</v>
      </c>
      <c r="F2283" s="3">
        <v>0.0</v>
      </c>
      <c r="G2283" s="3">
        <v>0.0</v>
      </c>
      <c r="H2283" s="3">
        <v>0.0</v>
      </c>
      <c r="I2283" s="2" t="str">
        <f>IFERROR(__xludf.DUMMYFUNCTION("INDEX(SPLIT(A2283, ""/""), 0, 2)"),"regex")</f>
        <v>regex</v>
      </c>
      <c r="J2283" s="2" t="b">
        <f t="shared" si="1"/>
        <v>0</v>
      </c>
    </row>
    <row r="2284">
      <c r="A2284" s="1" t="s">
        <v>1638</v>
      </c>
      <c r="B2284" s="3">
        <v>39.0</v>
      </c>
      <c r="C2284" s="3">
        <v>60.0</v>
      </c>
      <c r="D2284" s="3">
        <v>0.0</v>
      </c>
      <c r="E2284" s="3">
        <v>0.0</v>
      </c>
      <c r="F2284" s="3">
        <v>0.0</v>
      </c>
      <c r="G2284" s="3">
        <v>0.0</v>
      </c>
      <c r="H2284" s="3">
        <v>0.0</v>
      </c>
      <c r="I2284" s="2" t="str">
        <f>IFERROR(__xludf.DUMMYFUNCTION("INDEX(SPLIT(A2284, ""/""), 0, 2)"),"regex")</f>
        <v>regex</v>
      </c>
      <c r="J2284" s="2" t="b">
        <f t="shared" si="1"/>
        <v>0</v>
      </c>
    </row>
    <row r="2285">
      <c r="A2285" s="1" t="s">
        <v>1639</v>
      </c>
      <c r="B2285" s="3">
        <v>17.0</v>
      </c>
      <c r="C2285" s="3">
        <v>60.0</v>
      </c>
      <c r="D2285" s="3">
        <v>0.0</v>
      </c>
      <c r="E2285" s="3">
        <v>0.0</v>
      </c>
      <c r="F2285" s="3">
        <v>0.0</v>
      </c>
      <c r="G2285" s="3">
        <v>0.0</v>
      </c>
      <c r="H2285" s="3">
        <v>0.0</v>
      </c>
      <c r="I2285" s="2" t="str">
        <f>IFERROR(__xludf.DUMMYFUNCTION("INDEX(SPLIT(A2285, ""/""), 0, 2)"),"regex")</f>
        <v>regex</v>
      </c>
      <c r="J2285" s="2" t="b">
        <f t="shared" si="1"/>
        <v>0</v>
      </c>
    </row>
    <row r="2286">
      <c r="A2286" s="1" t="s">
        <v>1640</v>
      </c>
      <c r="B2286" s="3">
        <v>99.0</v>
      </c>
      <c r="C2286" s="3">
        <v>60.0</v>
      </c>
      <c r="D2286" s="3">
        <v>0.0</v>
      </c>
      <c r="E2286" s="3">
        <v>0.0</v>
      </c>
      <c r="F2286" s="3">
        <v>0.0</v>
      </c>
      <c r="G2286" s="3">
        <v>0.0</v>
      </c>
      <c r="H2286" s="3">
        <v>0.0</v>
      </c>
      <c r="I2286" s="2" t="str">
        <f>IFERROR(__xludf.DUMMYFUNCTION("INDEX(SPLIT(A2286, ""/""), 0, 2)"),"regex")</f>
        <v>regex</v>
      </c>
      <c r="J2286" s="2" t="b">
        <f t="shared" si="1"/>
        <v>0</v>
      </c>
    </row>
    <row r="2287">
      <c r="A2287" s="1" t="s">
        <v>1641</v>
      </c>
      <c r="B2287" s="3">
        <v>12.0</v>
      </c>
      <c r="C2287" s="3">
        <v>60.0</v>
      </c>
      <c r="D2287" s="3">
        <v>0.0</v>
      </c>
      <c r="E2287" s="3">
        <v>0.0</v>
      </c>
      <c r="F2287" s="3">
        <v>0.0</v>
      </c>
      <c r="G2287" s="3">
        <v>0.0</v>
      </c>
      <c r="H2287" s="3">
        <v>0.0</v>
      </c>
      <c r="I2287" s="2" t="str">
        <f>IFERROR(__xludf.DUMMYFUNCTION("INDEX(SPLIT(A2287, ""/""), 0, 2)"),"regex")</f>
        <v>regex</v>
      </c>
      <c r="J2287" s="2" t="b">
        <f t="shared" si="1"/>
        <v>0</v>
      </c>
    </row>
    <row r="2288">
      <c r="A2288" s="1" t="s">
        <v>1642</v>
      </c>
      <c r="B2288" s="3">
        <v>16.0</v>
      </c>
      <c r="C2288" s="3">
        <v>60.0</v>
      </c>
      <c r="D2288" s="3">
        <v>0.0</v>
      </c>
      <c r="E2288" s="3">
        <v>0.0</v>
      </c>
      <c r="F2288" s="3">
        <v>0.0</v>
      </c>
      <c r="G2288" s="3">
        <v>0.0</v>
      </c>
      <c r="H2288" s="3">
        <v>0.0</v>
      </c>
      <c r="I2288" s="2" t="str">
        <f>IFERROR(__xludf.DUMMYFUNCTION("INDEX(SPLIT(A2288, ""/""), 0, 2)"),"regex")</f>
        <v>regex</v>
      </c>
      <c r="J2288" s="2" t="b">
        <f t="shared" si="1"/>
        <v>0</v>
      </c>
    </row>
    <row r="2289">
      <c r="A2289" s="1" t="s">
        <v>1643</v>
      </c>
      <c r="B2289" s="3">
        <v>74.0</v>
      </c>
      <c r="C2289" s="3">
        <v>60.0</v>
      </c>
      <c r="D2289" s="3">
        <v>0.0</v>
      </c>
      <c r="E2289" s="3">
        <v>0.0</v>
      </c>
      <c r="F2289" s="3">
        <v>0.0</v>
      </c>
      <c r="G2289" s="3">
        <v>0.0</v>
      </c>
      <c r="H2289" s="3">
        <v>0.0</v>
      </c>
      <c r="I2289" s="2" t="str">
        <f>IFERROR(__xludf.DUMMYFUNCTION("INDEX(SPLIT(A2289, ""/""), 0, 2)"),"regex")</f>
        <v>regex</v>
      </c>
      <c r="J2289" s="2" t="b">
        <f t="shared" si="1"/>
        <v>0</v>
      </c>
    </row>
    <row r="2290">
      <c r="A2290" s="1" t="s">
        <v>1644</v>
      </c>
      <c r="B2290" s="3">
        <v>39.0</v>
      </c>
      <c r="C2290" s="3">
        <v>60.0</v>
      </c>
      <c r="D2290" s="3">
        <v>0.0</v>
      </c>
      <c r="E2290" s="3">
        <v>0.0</v>
      </c>
      <c r="F2290" s="3">
        <v>0.0</v>
      </c>
      <c r="G2290" s="3">
        <v>0.0</v>
      </c>
      <c r="H2290" s="3">
        <v>0.0</v>
      </c>
      <c r="I2290" s="2" t="str">
        <f>IFERROR(__xludf.DUMMYFUNCTION("INDEX(SPLIT(A2290, ""/""), 0, 2)"),"regex")</f>
        <v>regex</v>
      </c>
      <c r="J2290" s="2" t="b">
        <f t="shared" si="1"/>
        <v>0</v>
      </c>
    </row>
    <row r="2291">
      <c r="A2291" s="1" t="s">
        <v>1645</v>
      </c>
      <c r="B2291" s="3">
        <v>34.0</v>
      </c>
      <c r="C2291" s="3">
        <v>60.0</v>
      </c>
      <c r="D2291" s="3">
        <v>0.0</v>
      </c>
      <c r="E2291" s="3">
        <v>0.0</v>
      </c>
      <c r="F2291" s="3">
        <v>0.0</v>
      </c>
      <c r="G2291" s="3">
        <v>0.0</v>
      </c>
      <c r="H2291" s="3">
        <v>0.0</v>
      </c>
      <c r="I2291" s="2" t="str">
        <f>IFERROR(__xludf.DUMMYFUNCTION("INDEX(SPLIT(A2291, ""/""), 0, 2)"),"regex")</f>
        <v>regex</v>
      </c>
      <c r="J2291" s="2" t="b">
        <f t="shared" si="1"/>
        <v>0</v>
      </c>
    </row>
    <row r="2292">
      <c r="A2292" s="1" t="s">
        <v>1646</v>
      </c>
      <c r="B2292" s="3">
        <v>67.0</v>
      </c>
      <c r="C2292" s="3">
        <v>60.0</v>
      </c>
      <c r="D2292" s="3">
        <v>0.0</v>
      </c>
      <c r="E2292" s="3">
        <v>0.0</v>
      </c>
      <c r="F2292" s="3">
        <v>0.0</v>
      </c>
      <c r="G2292" s="3">
        <v>0.0</v>
      </c>
      <c r="H2292" s="3">
        <v>0.0</v>
      </c>
      <c r="I2292" s="2" t="str">
        <f>IFERROR(__xludf.DUMMYFUNCTION("INDEX(SPLIT(A2292, ""/""), 0, 2)"),"regex")</f>
        <v>regex</v>
      </c>
      <c r="J2292" s="2" t="b">
        <f t="shared" si="1"/>
        <v>0</v>
      </c>
    </row>
    <row r="2293">
      <c r="A2293" s="1" t="s">
        <v>1647</v>
      </c>
      <c r="B2293" s="3">
        <v>124.0</v>
      </c>
      <c r="C2293" s="3">
        <v>60.0</v>
      </c>
      <c r="D2293" s="3">
        <v>0.0</v>
      </c>
      <c r="E2293" s="3">
        <v>0.0</v>
      </c>
      <c r="F2293" s="3">
        <v>0.0</v>
      </c>
      <c r="G2293" s="3">
        <v>0.0</v>
      </c>
      <c r="H2293" s="3">
        <v>0.0</v>
      </c>
      <c r="I2293" s="2" t="str">
        <f>IFERROR(__xludf.DUMMYFUNCTION("INDEX(SPLIT(A2293, ""/""), 0, 2)"),"regex")</f>
        <v>regex</v>
      </c>
      <c r="J2293" s="2" t="b">
        <f t="shared" si="1"/>
        <v>0</v>
      </c>
    </row>
    <row r="2294">
      <c r="A2294" s="1" t="s">
        <v>1648</v>
      </c>
      <c r="B2294" s="3">
        <v>151.0</v>
      </c>
      <c r="C2294" s="3">
        <v>60.0</v>
      </c>
      <c r="D2294" s="3">
        <v>0.0</v>
      </c>
      <c r="E2294" s="3">
        <v>0.0</v>
      </c>
      <c r="F2294" s="3">
        <v>0.0</v>
      </c>
      <c r="G2294" s="3">
        <v>0.0</v>
      </c>
      <c r="H2294" s="3">
        <v>0.0</v>
      </c>
      <c r="I2294" s="2" t="str">
        <f>IFERROR(__xludf.DUMMYFUNCTION("INDEX(SPLIT(A2294, ""/""), 0, 2)"),"regex")</f>
        <v>regex</v>
      </c>
      <c r="J2294" s="2" t="b">
        <f t="shared" si="1"/>
        <v>0</v>
      </c>
    </row>
    <row r="2295">
      <c r="A2295" s="1" t="s">
        <v>1649</v>
      </c>
      <c r="B2295" s="3">
        <v>31.0</v>
      </c>
      <c r="C2295" s="3">
        <v>60.0</v>
      </c>
      <c r="D2295" s="3">
        <v>0.0</v>
      </c>
      <c r="E2295" s="3">
        <v>0.0</v>
      </c>
      <c r="F2295" s="3">
        <v>0.0</v>
      </c>
      <c r="G2295" s="3">
        <v>0.0</v>
      </c>
      <c r="H2295" s="3">
        <v>0.0</v>
      </c>
      <c r="I2295" s="2" t="str">
        <f>IFERROR(__xludf.DUMMYFUNCTION("INDEX(SPLIT(A2295, ""/""), 0, 2)"),"regex")</f>
        <v>regex</v>
      </c>
      <c r="J2295" s="2" t="b">
        <f t="shared" si="1"/>
        <v>0</v>
      </c>
    </row>
    <row r="2296">
      <c r="A2296" s="1" t="s">
        <v>1650</v>
      </c>
      <c r="B2296" s="3">
        <v>120.0</v>
      </c>
      <c r="C2296" s="3">
        <v>60.0</v>
      </c>
      <c r="D2296" s="3">
        <v>0.0</v>
      </c>
      <c r="E2296" s="3">
        <v>0.0</v>
      </c>
      <c r="F2296" s="3">
        <v>0.0</v>
      </c>
      <c r="G2296" s="3">
        <v>0.0</v>
      </c>
      <c r="H2296" s="3">
        <v>0.0</v>
      </c>
      <c r="I2296" s="2" t="str">
        <f>IFERROR(__xludf.DUMMYFUNCTION("INDEX(SPLIT(A2296, ""/""), 0, 2)"),"regex")</f>
        <v>regex</v>
      </c>
      <c r="J2296" s="2" t="b">
        <f t="shared" si="1"/>
        <v>0</v>
      </c>
    </row>
    <row r="2297">
      <c r="A2297" s="1" t="s">
        <v>1651</v>
      </c>
      <c r="B2297" s="3">
        <v>13.0</v>
      </c>
      <c r="C2297" s="3">
        <v>60.0</v>
      </c>
      <c r="D2297" s="3">
        <v>0.0</v>
      </c>
      <c r="E2297" s="3">
        <v>0.0</v>
      </c>
      <c r="F2297" s="3">
        <v>0.0</v>
      </c>
      <c r="G2297" s="3">
        <v>0.0</v>
      </c>
      <c r="H2297" s="3">
        <v>0.0</v>
      </c>
      <c r="I2297" s="2" t="str">
        <f>IFERROR(__xludf.DUMMYFUNCTION("INDEX(SPLIT(A2297, ""/""), 0, 2)"),"regex")</f>
        <v>regex</v>
      </c>
      <c r="J2297" s="2" t="b">
        <f t="shared" si="1"/>
        <v>0</v>
      </c>
    </row>
    <row r="2298">
      <c r="A2298" s="1" t="s">
        <v>1652</v>
      </c>
      <c r="B2298" s="3">
        <v>36.0</v>
      </c>
      <c r="C2298" s="3">
        <v>60.0</v>
      </c>
      <c r="D2298" s="3">
        <v>0.0</v>
      </c>
      <c r="E2298" s="3">
        <v>0.0</v>
      </c>
      <c r="F2298" s="3">
        <v>0.0</v>
      </c>
      <c r="G2298" s="3">
        <v>0.0</v>
      </c>
      <c r="H2298" s="3">
        <v>0.0</v>
      </c>
      <c r="I2298" s="2" t="str">
        <f>IFERROR(__xludf.DUMMYFUNCTION("INDEX(SPLIT(A2298, ""/""), 0, 2)"),"regex")</f>
        <v>regex</v>
      </c>
      <c r="J2298" s="2" t="b">
        <f t="shared" si="1"/>
        <v>0</v>
      </c>
    </row>
    <row r="2299">
      <c r="A2299" s="1" t="s">
        <v>1653</v>
      </c>
      <c r="B2299" s="3">
        <v>20.0</v>
      </c>
      <c r="C2299" s="3">
        <v>60.0</v>
      </c>
      <c r="D2299" s="3">
        <v>0.0</v>
      </c>
      <c r="E2299" s="3">
        <v>0.0</v>
      </c>
      <c r="F2299" s="3">
        <v>0.0</v>
      </c>
      <c r="G2299" s="3">
        <v>0.0</v>
      </c>
      <c r="H2299" s="3">
        <v>0.0</v>
      </c>
      <c r="I2299" s="2" t="str">
        <f>IFERROR(__xludf.DUMMYFUNCTION("INDEX(SPLIT(A2299, ""/""), 0, 2)"),"regex")</f>
        <v>regex</v>
      </c>
      <c r="J2299" s="2" t="b">
        <f t="shared" si="1"/>
        <v>0</v>
      </c>
    </row>
    <row r="2300">
      <c r="A2300" s="1" t="s">
        <v>1654</v>
      </c>
      <c r="B2300" s="3">
        <v>50.0</v>
      </c>
      <c r="C2300" s="3">
        <v>60.0</v>
      </c>
      <c r="D2300" s="3">
        <v>0.0</v>
      </c>
      <c r="E2300" s="3">
        <v>0.0</v>
      </c>
      <c r="F2300" s="3">
        <v>0.0</v>
      </c>
      <c r="G2300" s="3">
        <v>0.0</v>
      </c>
      <c r="H2300" s="3">
        <v>0.0</v>
      </c>
      <c r="I2300" s="2" t="str">
        <f>IFERROR(__xludf.DUMMYFUNCTION("INDEX(SPLIT(A2300, ""/""), 0, 2)"),"regex")</f>
        <v>regex</v>
      </c>
      <c r="J2300" s="2" t="b">
        <f t="shared" si="1"/>
        <v>0</v>
      </c>
    </row>
    <row r="2301">
      <c r="A2301" s="1" t="s">
        <v>1655</v>
      </c>
      <c r="B2301" s="3">
        <v>9.0</v>
      </c>
      <c r="C2301" s="3">
        <v>60.0</v>
      </c>
      <c r="D2301" s="3">
        <v>0.0</v>
      </c>
      <c r="E2301" s="3">
        <v>0.0</v>
      </c>
      <c r="F2301" s="3">
        <v>0.0</v>
      </c>
      <c r="G2301" s="3">
        <v>0.0</v>
      </c>
      <c r="H2301" s="3">
        <v>0.0</v>
      </c>
      <c r="I2301" s="2" t="str">
        <f>IFERROR(__xludf.DUMMYFUNCTION("INDEX(SPLIT(A2301, ""/""), 0, 2)"),"regex")</f>
        <v>regex</v>
      </c>
      <c r="J2301" s="2" t="b">
        <f t="shared" si="1"/>
        <v>0</v>
      </c>
    </row>
    <row r="2302">
      <c r="A2302" s="1" t="s">
        <v>1656</v>
      </c>
      <c r="B2302" s="3">
        <v>15.0</v>
      </c>
      <c r="C2302" s="3">
        <v>60.0</v>
      </c>
      <c r="D2302" s="3">
        <v>0.0</v>
      </c>
      <c r="E2302" s="3">
        <v>0.0</v>
      </c>
      <c r="F2302" s="3">
        <v>0.0</v>
      </c>
      <c r="G2302" s="3">
        <v>0.0</v>
      </c>
      <c r="H2302" s="3">
        <v>0.0</v>
      </c>
      <c r="I2302" s="2" t="str">
        <f>IFERROR(__xludf.DUMMYFUNCTION("INDEX(SPLIT(A2302, ""/""), 0, 2)"),"regex")</f>
        <v>regex</v>
      </c>
      <c r="J2302" s="2" t="b">
        <f t="shared" si="1"/>
        <v>0</v>
      </c>
    </row>
    <row r="2303">
      <c r="A2303" s="1" t="s">
        <v>1657</v>
      </c>
      <c r="B2303" s="3">
        <v>161.0</v>
      </c>
      <c r="C2303" s="3">
        <v>60.0</v>
      </c>
      <c r="D2303" s="3">
        <v>0.0</v>
      </c>
      <c r="E2303" s="3">
        <v>0.0</v>
      </c>
      <c r="F2303" s="3">
        <v>0.0</v>
      </c>
      <c r="G2303" s="3">
        <v>0.0</v>
      </c>
      <c r="H2303" s="3">
        <v>0.0</v>
      </c>
      <c r="I2303" s="2" t="str">
        <f>IFERROR(__xludf.DUMMYFUNCTION("INDEX(SPLIT(A2303, ""/""), 0, 2)"),"regex")</f>
        <v>regex</v>
      </c>
      <c r="J2303" s="2" t="b">
        <f t="shared" si="1"/>
        <v>0</v>
      </c>
    </row>
    <row r="2304">
      <c r="A2304" s="1" t="s">
        <v>1658</v>
      </c>
      <c r="B2304" s="3">
        <v>19.0</v>
      </c>
      <c r="C2304" s="3">
        <v>60.0</v>
      </c>
      <c r="D2304" s="3">
        <v>0.0</v>
      </c>
      <c r="E2304" s="3">
        <v>0.0</v>
      </c>
      <c r="F2304" s="3">
        <v>0.0</v>
      </c>
      <c r="G2304" s="3">
        <v>0.0</v>
      </c>
      <c r="H2304" s="3">
        <v>0.0</v>
      </c>
      <c r="I2304" s="2" t="str">
        <f>IFERROR(__xludf.DUMMYFUNCTION("INDEX(SPLIT(A2304, ""/""), 0, 2)"),"regex")</f>
        <v>regex</v>
      </c>
      <c r="J2304" s="2" t="b">
        <f t="shared" si="1"/>
        <v>0</v>
      </c>
    </row>
    <row r="2305">
      <c r="A2305" s="1" t="s">
        <v>1659</v>
      </c>
      <c r="B2305" s="3">
        <v>44.0</v>
      </c>
      <c r="C2305" s="3">
        <v>60.0</v>
      </c>
      <c r="D2305" s="3">
        <v>0.0</v>
      </c>
      <c r="E2305" s="3">
        <v>0.0</v>
      </c>
      <c r="F2305" s="3">
        <v>0.0</v>
      </c>
      <c r="G2305" s="3">
        <v>0.0</v>
      </c>
      <c r="H2305" s="3">
        <v>0.0</v>
      </c>
      <c r="I2305" s="2" t="str">
        <f>IFERROR(__xludf.DUMMYFUNCTION("INDEX(SPLIT(A2305, ""/""), 0, 2)"),"regex")</f>
        <v>regex</v>
      </c>
      <c r="J2305" s="2" t="b">
        <f t="shared" si="1"/>
        <v>0</v>
      </c>
    </row>
    <row r="2306">
      <c r="A2306" s="1" t="s">
        <v>1660</v>
      </c>
      <c r="B2306" s="3">
        <v>43.0</v>
      </c>
      <c r="C2306" s="3">
        <v>60.0</v>
      </c>
      <c r="D2306" s="3">
        <v>0.0</v>
      </c>
      <c r="E2306" s="3">
        <v>0.0</v>
      </c>
      <c r="F2306" s="3">
        <v>0.0</v>
      </c>
      <c r="G2306" s="3">
        <v>0.0</v>
      </c>
      <c r="H2306" s="3">
        <v>0.0</v>
      </c>
      <c r="I2306" s="2" t="str">
        <f>IFERROR(__xludf.DUMMYFUNCTION("INDEX(SPLIT(A2306, ""/""), 0, 2)"),"regex")</f>
        <v>regex</v>
      </c>
      <c r="J2306" s="2" t="b">
        <f t="shared" si="1"/>
        <v>0</v>
      </c>
    </row>
    <row r="2307">
      <c r="A2307" s="1" t="s">
        <v>1661</v>
      </c>
      <c r="B2307" s="3">
        <v>118.0</v>
      </c>
      <c r="C2307" s="3">
        <v>60.0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2" t="str">
        <f>IFERROR(__xludf.DUMMYFUNCTION("INDEX(SPLIT(A2307, ""/""), 0, 2)"),"regex")</f>
        <v>regex</v>
      </c>
      <c r="J2307" s="2" t="b">
        <f t="shared" si="1"/>
        <v>0</v>
      </c>
    </row>
    <row r="2308">
      <c r="A2308" s="1" t="s">
        <v>1662</v>
      </c>
      <c r="B2308" s="3">
        <v>24.0</v>
      </c>
      <c r="C2308" s="3">
        <v>60.0</v>
      </c>
      <c r="D2308" s="3">
        <v>0.0</v>
      </c>
      <c r="E2308" s="3">
        <v>0.0</v>
      </c>
      <c r="F2308" s="3">
        <v>0.0</v>
      </c>
      <c r="G2308" s="3">
        <v>0.0</v>
      </c>
      <c r="H2308" s="3">
        <v>0.0</v>
      </c>
      <c r="I2308" s="2" t="str">
        <f>IFERROR(__xludf.DUMMYFUNCTION("INDEX(SPLIT(A2308, ""/""), 0, 2)"),"regex")</f>
        <v>regex</v>
      </c>
      <c r="J2308" s="2" t="b">
        <f t="shared" si="1"/>
        <v>0</v>
      </c>
    </row>
    <row r="2309">
      <c r="A2309" s="1" t="s">
        <v>1663</v>
      </c>
      <c r="B2309" s="3">
        <v>15.0</v>
      </c>
      <c r="C2309" s="3">
        <v>60.0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2" t="str">
        <f>IFERROR(__xludf.DUMMYFUNCTION("INDEX(SPLIT(A2309, ""/""), 0, 2)"),"regex")</f>
        <v>regex</v>
      </c>
      <c r="J2309" s="2" t="b">
        <f t="shared" si="1"/>
        <v>0</v>
      </c>
    </row>
    <row r="2310">
      <c r="A2310" s="1" t="s">
        <v>1664</v>
      </c>
      <c r="B2310" s="3">
        <v>46.0</v>
      </c>
      <c r="C2310" s="3">
        <v>60.0</v>
      </c>
      <c r="D2310" s="3">
        <v>0.0</v>
      </c>
      <c r="E2310" s="3">
        <v>0.0</v>
      </c>
      <c r="F2310" s="3">
        <v>0.0</v>
      </c>
      <c r="G2310" s="3">
        <v>0.0</v>
      </c>
      <c r="H2310" s="3">
        <v>0.0</v>
      </c>
      <c r="I2310" s="2" t="str">
        <f>IFERROR(__xludf.DUMMYFUNCTION("INDEX(SPLIT(A2310, ""/""), 0, 2)"),"regex")</f>
        <v>regex</v>
      </c>
      <c r="J2310" s="2" t="b">
        <f t="shared" si="1"/>
        <v>0</v>
      </c>
    </row>
    <row r="2311">
      <c r="A2311" s="1" t="s">
        <v>1665</v>
      </c>
      <c r="B2311" s="3">
        <v>16.0</v>
      </c>
      <c r="C2311" s="3">
        <v>60.0</v>
      </c>
      <c r="D2311" s="3">
        <v>0.0</v>
      </c>
      <c r="E2311" s="3">
        <v>0.0</v>
      </c>
      <c r="F2311" s="3">
        <v>0.0</v>
      </c>
      <c r="G2311" s="3">
        <v>0.0</v>
      </c>
      <c r="H2311" s="3">
        <v>0.0</v>
      </c>
      <c r="I2311" s="2" t="str">
        <f>IFERROR(__xludf.DUMMYFUNCTION("INDEX(SPLIT(A2311, ""/""), 0, 2)"),"regex")</f>
        <v>regex</v>
      </c>
      <c r="J2311" s="2" t="b">
        <f t="shared" si="1"/>
        <v>0</v>
      </c>
    </row>
    <row r="2312">
      <c r="A2312" s="1" t="s">
        <v>1666</v>
      </c>
      <c r="B2312" s="3">
        <v>33.0</v>
      </c>
      <c r="C2312" s="3">
        <v>60.0</v>
      </c>
      <c r="D2312" s="3">
        <v>0.0</v>
      </c>
      <c r="E2312" s="3">
        <v>0.0</v>
      </c>
      <c r="F2312" s="3">
        <v>0.0</v>
      </c>
      <c r="G2312" s="3">
        <v>0.0</v>
      </c>
      <c r="H2312" s="3">
        <v>0.0</v>
      </c>
      <c r="I2312" s="2" t="str">
        <f>IFERROR(__xludf.DUMMYFUNCTION("INDEX(SPLIT(A2312, ""/""), 0, 2)"),"regex")</f>
        <v>regex</v>
      </c>
      <c r="J2312" s="2" t="b">
        <f t="shared" si="1"/>
        <v>0</v>
      </c>
    </row>
    <row r="2313">
      <c r="A2313" s="1" t="s">
        <v>1667</v>
      </c>
      <c r="B2313" s="3">
        <v>28.0</v>
      </c>
      <c r="C2313" s="3">
        <v>60.0</v>
      </c>
      <c r="D2313" s="3">
        <v>0.0</v>
      </c>
      <c r="E2313" s="3">
        <v>0.0</v>
      </c>
      <c r="F2313" s="3">
        <v>0.0</v>
      </c>
      <c r="G2313" s="3">
        <v>0.0</v>
      </c>
      <c r="H2313" s="3">
        <v>0.0</v>
      </c>
      <c r="I2313" s="2" t="str">
        <f>IFERROR(__xludf.DUMMYFUNCTION("INDEX(SPLIT(A2313, ""/""), 0, 2)"),"regex")</f>
        <v>regex</v>
      </c>
      <c r="J2313" s="2" t="b">
        <f t="shared" si="1"/>
        <v>0</v>
      </c>
    </row>
    <row r="2314">
      <c r="A2314" s="1" t="s">
        <v>1668</v>
      </c>
      <c r="B2314" s="3">
        <v>60.0</v>
      </c>
      <c r="C2314" s="3">
        <v>60.0</v>
      </c>
      <c r="D2314" s="3">
        <v>0.0</v>
      </c>
      <c r="E2314" s="3">
        <v>0.0</v>
      </c>
      <c r="F2314" s="3">
        <v>0.0</v>
      </c>
      <c r="G2314" s="3">
        <v>0.0</v>
      </c>
      <c r="H2314" s="3">
        <v>0.0</v>
      </c>
      <c r="I2314" s="2" t="str">
        <f>IFERROR(__xludf.DUMMYFUNCTION("INDEX(SPLIT(A2314, ""/""), 0, 2)"),"regex")</f>
        <v>regex</v>
      </c>
      <c r="J2314" s="2" t="b">
        <f t="shared" si="1"/>
        <v>0</v>
      </c>
    </row>
    <row r="2315">
      <c r="A2315" s="1" t="s">
        <v>1669</v>
      </c>
      <c r="B2315" s="3">
        <v>265.0</v>
      </c>
      <c r="C2315" s="3">
        <v>60.0</v>
      </c>
      <c r="D2315" s="3">
        <v>1.0</v>
      </c>
      <c r="E2315" s="3">
        <v>0.0</v>
      </c>
      <c r="F2315" s="3">
        <v>0.0</v>
      </c>
      <c r="G2315" s="3">
        <v>0.0</v>
      </c>
      <c r="H2315" s="3">
        <v>0.0</v>
      </c>
      <c r="I2315" s="2" t="str">
        <f>IFERROR(__xludf.DUMMYFUNCTION("INDEX(SPLIT(A2315, ""/""), 0, 2)"),"regex")</f>
        <v>regex</v>
      </c>
      <c r="J2315" s="2" t="b">
        <f t="shared" si="1"/>
        <v>0</v>
      </c>
    </row>
    <row r="2316">
      <c r="A2316" s="1" t="s">
        <v>1670</v>
      </c>
      <c r="B2316" s="3">
        <v>17.0</v>
      </c>
      <c r="C2316" s="3">
        <v>60.0</v>
      </c>
      <c r="D2316" s="3">
        <v>0.0</v>
      </c>
      <c r="E2316" s="3">
        <v>0.0</v>
      </c>
      <c r="F2316" s="3">
        <v>0.0</v>
      </c>
      <c r="G2316" s="3">
        <v>0.0</v>
      </c>
      <c r="H2316" s="3">
        <v>0.0</v>
      </c>
      <c r="I2316" s="2" t="str">
        <f>IFERROR(__xludf.DUMMYFUNCTION("INDEX(SPLIT(A2316, ""/""), 0, 2)"),"regex")</f>
        <v>regex</v>
      </c>
      <c r="J2316" s="2" t="b">
        <f t="shared" si="1"/>
        <v>0</v>
      </c>
    </row>
    <row r="2317">
      <c r="A2317" s="1" t="s">
        <v>1671</v>
      </c>
      <c r="B2317" s="3">
        <v>127.0</v>
      </c>
      <c r="C2317" s="3">
        <v>60.0</v>
      </c>
      <c r="D2317" s="3">
        <v>0.0</v>
      </c>
      <c r="E2317" s="3">
        <v>0.0</v>
      </c>
      <c r="F2317" s="3">
        <v>0.0</v>
      </c>
      <c r="G2317" s="3">
        <v>0.0</v>
      </c>
      <c r="H2317" s="3">
        <v>0.0</v>
      </c>
      <c r="I2317" s="2" t="str">
        <f>IFERROR(__xludf.DUMMYFUNCTION("INDEX(SPLIT(A2317, ""/""), 0, 2)"),"regex")</f>
        <v>regex</v>
      </c>
      <c r="J2317" s="2" t="b">
        <f t="shared" si="1"/>
        <v>0</v>
      </c>
    </row>
    <row r="2318">
      <c r="A2318" s="1" t="s">
        <v>1672</v>
      </c>
      <c r="B2318" s="3">
        <v>66.0</v>
      </c>
      <c r="C2318" s="3">
        <v>60.0</v>
      </c>
      <c r="D2318" s="3">
        <v>0.0</v>
      </c>
      <c r="E2318" s="3">
        <v>0.0</v>
      </c>
      <c r="F2318" s="3">
        <v>0.0</v>
      </c>
      <c r="G2318" s="3">
        <v>0.0</v>
      </c>
      <c r="H2318" s="3">
        <v>0.0</v>
      </c>
      <c r="I2318" s="2" t="str">
        <f>IFERROR(__xludf.DUMMYFUNCTION("INDEX(SPLIT(A2318, ""/""), 0, 2)"),"regex")</f>
        <v>regex</v>
      </c>
      <c r="J2318" s="2" t="b">
        <f t="shared" si="1"/>
        <v>0</v>
      </c>
    </row>
    <row r="2319">
      <c r="A2319" s="1" t="s">
        <v>1673</v>
      </c>
      <c r="B2319" s="3">
        <v>79.0</v>
      </c>
      <c r="C2319" s="3">
        <v>60.0</v>
      </c>
      <c r="D2319" s="3">
        <v>0.0</v>
      </c>
      <c r="E2319" s="3">
        <v>0.0</v>
      </c>
      <c r="F2319" s="3">
        <v>0.0</v>
      </c>
      <c r="G2319" s="3">
        <v>0.0</v>
      </c>
      <c r="H2319" s="3">
        <v>0.0</v>
      </c>
      <c r="I2319" s="2" t="str">
        <f>IFERROR(__xludf.DUMMYFUNCTION("INDEX(SPLIT(A2319, ""/""), 0, 2)"),"regex")</f>
        <v>regex</v>
      </c>
      <c r="J2319" s="2" t="b">
        <f t="shared" si="1"/>
        <v>0</v>
      </c>
    </row>
    <row r="2320">
      <c r="A2320" s="1" t="s">
        <v>1674</v>
      </c>
      <c r="B2320" s="3">
        <v>93.0</v>
      </c>
      <c r="C2320" s="3">
        <v>60.0</v>
      </c>
      <c r="D2320" s="3">
        <v>0.0</v>
      </c>
      <c r="E2320" s="3">
        <v>0.0</v>
      </c>
      <c r="F2320" s="3">
        <v>0.0</v>
      </c>
      <c r="G2320" s="3">
        <v>0.0</v>
      </c>
      <c r="H2320" s="3">
        <v>0.0</v>
      </c>
      <c r="I2320" s="2" t="str">
        <f>IFERROR(__xludf.DUMMYFUNCTION("INDEX(SPLIT(A2320, ""/""), 0, 2)"),"regex")</f>
        <v>regex</v>
      </c>
      <c r="J2320" s="2" t="b">
        <f t="shared" si="1"/>
        <v>0</v>
      </c>
    </row>
    <row r="2321">
      <c r="A2321" s="1" t="s">
        <v>1675</v>
      </c>
      <c r="B2321" s="3">
        <v>83.0</v>
      </c>
      <c r="C2321" s="3">
        <v>60.0</v>
      </c>
      <c r="D2321" s="3">
        <v>0.0</v>
      </c>
      <c r="E2321" s="3">
        <v>0.0</v>
      </c>
      <c r="F2321" s="3">
        <v>0.0</v>
      </c>
      <c r="G2321" s="3">
        <v>0.0</v>
      </c>
      <c r="H2321" s="3">
        <v>0.0</v>
      </c>
      <c r="I2321" s="2" t="str">
        <f>IFERROR(__xludf.DUMMYFUNCTION("INDEX(SPLIT(A2321, ""/""), 0, 2)"),"regex")</f>
        <v>regex</v>
      </c>
      <c r="J2321" s="2" t="b">
        <f t="shared" si="1"/>
        <v>0</v>
      </c>
    </row>
    <row r="2322">
      <c r="A2322" s="1" t="s">
        <v>1676</v>
      </c>
      <c r="B2322" s="3">
        <v>9.0</v>
      </c>
      <c r="C2322" s="3">
        <v>60.0</v>
      </c>
      <c r="D2322" s="3">
        <v>0.0</v>
      </c>
      <c r="E2322" s="3">
        <v>0.0</v>
      </c>
      <c r="F2322" s="3">
        <v>0.0</v>
      </c>
      <c r="G2322" s="3">
        <v>0.0</v>
      </c>
      <c r="H2322" s="3">
        <v>0.0</v>
      </c>
      <c r="I2322" s="2" t="str">
        <f>IFERROR(__xludf.DUMMYFUNCTION("INDEX(SPLIT(A2322, ""/""), 0, 2)"),"regex")</f>
        <v>regex</v>
      </c>
      <c r="J2322" s="2" t="b">
        <f t="shared" si="1"/>
        <v>0</v>
      </c>
    </row>
    <row r="2323">
      <c r="A2323" s="1" t="s">
        <v>1677</v>
      </c>
      <c r="B2323" s="3">
        <v>10.0</v>
      </c>
      <c r="C2323" s="3">
        <v>60.0</v>
      </c>
      <c r="D2323" s="3">
        <v>0.0</v>
      </c>
      <c r="E2323" s="3">
        <v>0.0</v>
      </c>
      <c r="F2323" s="3">
        <v>0.0</v>
      </c>
      <c r="G2323" s="3">
        <v>0.0</v>
      </c>
      <c r="H2323" s="3">
        <v>0.0</v>
      </c>
      <c r="I2323" s="2" t="str">
        <f>IFERROR(__xludf.DUMMYFUNCTION("INDEX(SPLIT(A2323, ""/""), 0, 2)"),"regex")</f>
        <v>regex</v>
      </c>
      <c r="J2323" s="2" t="b">
        <f t="shared" si="1"/>
        <v>0</v>
      </c>
    </row>
    <row r="2324">
      <c r="A2324" s="1" t="s">
        <v>1678</v>
      </c>
      <c r="B2324" s="3">
        <v>24.0</v>
      </c>
      <c r="C2324" s="3">
        <v>60.0</v>
      </c>
      <c r="D2324" s="3">
        <v>0.0</v>
      </c>
      <c r="E2324" s="3">
        <v>0.0</v>
      </c>
      <c r="F2324" s="3">
        <v>0.0</v>
      </c>
      <c r="G2324" s="3">
        <v>0.0</v>
      </c>
      <c r="H2324" s="3">
        <v>0.0</v>
      </c>
      <c r="I2324" s="2" t="str">
        <f>IFERROR(__xludf.DUMMYFUNCTION("INDEX(SPLIT(A2324, ""/""), 0, 2)"),"regex")</f>
        <v>regex</v>
      </c>
      <c r="J2324" s="2" t="b">
        <f t="shared" si="1"/>
        <v>0</v>
      </c>
    </row>
    <row r="2325">
      <c r="A2325" s="1" t="s">
        <v>1679</v>
      </c>
      <c r="B2325" s="3">
        <v>22.0</v>
      </c>
      <c r="C2325" s="3">
        <v>60.0</v>
      </c>
      <c r="D2325" s="3">
        <v>0.0</v>
      </c>
      <c r="E2325" s="3">
        <v>0.0</v>
      </c>
      <c r="F2325" s="3">
        <v>0.0</v>
      </c>
      <c r="G2325" s="3">
        <v>0.0</v>
      </c>
      <c r="H2325" s="3">
        <v>0.0</v>
      </c>
      <c r="I2325" s="2" t="str">
        <f>IFERROR(__xludf.DUMMYFUNCTION("INDEX(SPLIT(A2325, ""/""), 0, 2)"),"regex")</f>
        <v>regex</v>
      </c>
      <c r="J2325" s="2" t="b">
        <f t="shared" si="1"/>
        <v>0</v>
      </c>
    </row>
    <row r="2326">
      <c r="A2326" s="1" t="s">
        <v>1680</v>
      </c>
      <c r="B2326" s="3">
        <v>7.0</v>
      </c>
      <c r="C2326" s="3">
        <v>60.0</v>
      </c>
      <c r="D2326" s="3">
        <v>0.0</v>
      </c>
      <c r="E2326" s="3">
        <v>0.0</v>
      </c>
      <c r="F2326" s="3">
        <v>0.0</v>
      </c>
      <c r="G2326" s="3">
        <v>0.0</v>
      </c>
      <c r="H2326" s="3">
        <v>0.0</v>
      </c>
      <c r="I2326" s="2" t="str">
        <f>IFERROR(__xludf.DUMMYFUNCTION("INDEX(SPLIT(A2326, ""/""), 0, 2)"),"regex")</f>
        <v>regex</v>
      </c>
      <c r="J2326" s="2" t="b">
        <f t="shared" si="1"/>
        <v>0</v>
      </c>
    </row>
    <row r="2327">
      <c r="A2327" s="1" t="s">
        <v>1681</v>
      </c>
      <c r="B2327" s="3">
        <v>99.0</v>
      </c>
      <c r="C2327" s="3">
        <v>60.0</v>
      </c>
      <c r="D2327" s="3">
        <v>0.0</v>
      </c>
      <c r="E2327" s="3">
        <v>0.0</v>
      </c>
      <c r="F2327" s="3">
        <v>0.0</v>
      </c>
      <c r="G2327" s="3">
        <v>0.0</v>
      </c>
      <c r="H2327" s="3">
        <v>0.0</v>
      </c>
      <c r="I2327" s="2" t="str">
        <f>IFERROR(__xludf.DUMMYFUNCTION("INDEX(SPLIT(A2327, ""/""), 0, 2)"),"regex")</f>
        <v>regex</v>
      </c>
      <c r="J2327" s="2" t="b">
        <f t="shared" si="1"/>
        <v>0</v>
      </c>
    </row>
    <row r="2328">
      <c r="A2328" s="1" t="s">
        <v>1682</v>
      </c>
      <c r="B2328" s="3">
        <v>45.0</v>
      </c>
      <c r="C2328" s="3">
        <v>60.0</v>
      </c>
      <c r="D2328" s="3">
        <v>0.0</v>
      </c>
      <c r="E2328" s="3">
        <v>0.0</v>
      </c>
      <c r="F2328" s="3">
        <v>0.0</v>
      </c>
      <c r="G2328" s="3">
        <v>0.0</v>
      </c>
      <c r="H2328" s="3">
        <v>0.0</v>
      </c>
      <c r="I2328" s="2" t="str">
        <f>IFERROR(__xludf.DUMMYFUNCTION("INDEX(SPLIT(A2328, ""/""), 0, 2)"),"regex")</f>
        <v>regex</v>
      </c>
      <c r="J2328" s="2" t="b">
        <f t="shared" si="1"/>
        <v>0</v>
      </c>
    </row>
    <row r="2329">
      <c r="A2329" s="1" t="s">
        <v>1683</v>
      </c>
      <c r="B2329" s="3">
        <v>24.0</v>
      </c>
      <c r="C2329" s="3">
        <v>60.0</v>
      </c>
      <c r="D2329" s="3">
        <v>0.0</v>
      </c>
      <c r="E2329" s="3">
        <v>0.0</v>
      </c>
      <c r="F2329" s="3">
        <v>0.0</v>
      </c>
      <c r="G2329" s="3">
        <v>0.0</v>
      </c>
      <c r="H2329" s="3">
        <v>0.0</v>
      </c>
      <c r="I2329" s="2" t="str">
        <f>IFERROR(__xludf.DUMMYFUNCTION("INDEX(SPLIT(A2329, ""/""), 0, 2)"),"regex")</f>
        <v>regex</v>
      </c>
      <c r="J2329" s="2" t="b">
        <f t="shared" si="1"/>
        <v>0</v>
      </c>
    </row>
    <row r="2330">
      <c r="A2330" s="1" t="s">
        <v>1684</v>
      </c>
      <c r="B2330" s="3">
        <v>66.0</v>
      </c>
      <c r="C2330" s="3">
        <v>60.0</v>
      </c>
      <c r="D2330" s="3">
        <v>0.0</v>
      </c>
      <c r="E2330" s="3">
        <v>0.0</v>
      </c>
      <c r="F2330" s="3">
        <v>0.0</v>
      </c>
      <c r="G2330" s="3">
        <v>0.0</v>
      </c>
      <c r="H2330" s="3">
        <v>0.0</v>
      </c>
      <c r="I2330" s="2" t="str">
        <f>IFERROR(__xludf.DUMMYFUNCTION("INDEX(SPLIT(A2330, ""/""), 0, 2)"),"regex")</f>
        <v>regex</v>
      </c>
      <c r="J2330" s="2" t="b">
        <f t="shared" si="1"/>
        <v>0</v>
      </c>
    </row>
    <row r="2331">
      <c r="A2331" s="1" t="s">
        <v>1685</v>
      </c>
      <c r="B2331" s="3">
        <v>135.0</v>
      </c>
      <c r="C2331" s="3">
        <v>60.0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2" t="str">
        <f>IFERROR(__xludf.DUMMYFUNCTION("INDEX(SPLIT(A2331, ""/""), 0, 2)"),"regex")</f>
        <v>regex</v>
      </c>
      <c r="J2331" s="2" t="b">
        <f t="shared" si="1"/>
        <v>0</v>
      </c>
    </row>
    <row r="2332">
      <c r="A2332" s="1" t="s">
        <v>1686</v>
      </c>
      <c r="B2332" s="3">
        <v>75.0</v>
      </c>
      <c r="C2332" s="3">
        <v>60.0</v>
      </c>
      <c r="D2332" s="3">
        <v>0.0</v>
      </c>
      <c r="E2332" s="3">
        <v>0.0</v>
      </c>
      <c r="F2332" s="3">
        <v>0.0</v>
      </c>
      <c r="G2332" s="3">
        <v>0.0</v>
      </c>
      <c r="H2332" s="3">
        <v>0.0</v>
      </c>
      <c r="I2332" s="2" t="str">
        <f>IFERROR(__xludf.DUMMYFUNCTION("INDEX(SPLIT(A2332, ""/""), 0, 2)"),"regex")</f>
        <v>regex</v>
      </c>
      <c r="J2332" s="2" t="b">
        <f t="shared" si="1"/>
        <v>0</v>
      </c>
    </row>
    <row r="2333">
      <c r="A2333" s="1" t="s">
        <v>1687</v>
      </c>
      <c r="B2333" s="3">
        <v>41.0</v>
      </c>
      <c r="C2333" s="3">
        <v>60.0</v>
      </c>
      <c r="D2333" s="3">
        <v>0.0</v>
      </c>
      <c r="E2333" s="3">
        <v>0.0</v>
      </c>
      <c r="F2333" s="3">
        <v>0.0</v>
      </c>
      <c r="G2333" s="3">
        <v>0.0</v>
      </c>
      <c r="H2333" s="3">
        <v>0.0</v>
      </c>
      <c r="I2333" s="2" t="str">
        <f>IFERROR(__xludf.DUMMYFUNCTION("INDEX(SPLIT(A2333, ""/""), 0, 2)"),"regex")</f>
        <v>regex</v>
      </c>
      <c r="J2333" s="2" t="b">
        <f t="shared" si="1"/>
        <v>0</v>
      </c>
    </row>
    <row r="2334">
      <c r="A2334" s="1" t="s">
        <v>1688</v>
      </c>
      <c r="B2334" s="3">
        <v>28.0</v>
      </c>
      <c r="C2334" s="3">
        <v>60.0</v>
      </c>
      <c r="D2334" s="3">
        <v>0.0</v>
      </c>
      <c r="E2334" s="3">
        <v>0.0</v>
      </c>
      <c r="F2334" s="3">
        <v>0.0</v>
      </c>
      <c r="G2334" s="3">
        <v>0.0</v>
      </c>
      <c r="H2334" s="3">
        <v>0.0</v>
      </c>
      <c r="I2334" s="2" t="str">
        <f>IFERROR(__xludf.DUMMYFUNCTION("INDEX(SPLIT(A2334, ""/""), 0, 2)"),"regex")</f>
        <v>regex</v>
      </c>
      <c r="J2334" s="2" t="b">
        <f t="shared" si="1"/>
        <v>0</v>
      </c>
    </row>
    <row r="2335">
      <c r="A2335" s="1" t="s">
        <v>1689</v>
      </c>
      <c r="B2335" s="3">
        <v>12.0</v>
      </c>
      <c r="C2335" s="3">
        <v>60.0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2" t="str">
        <f>IFERROR(__xludf.DUMMYFUNCTION("INDEX(SPLIT(A2335, ""/""), 0, 2)"),"regex")</f>
        <v>regex</v>
      </c>
      <c r="J2335" s="2" t="b">
        <f t="shared" si="1"/>
        <v>0</v>
      </c>
    </row>
    <row r="2336">
      <c r="A2336" s="1" t="s">
        <v>1690</v>
      </c>
      <c r="B2336" s="3">
        <v>23.0</v>
      </c>
      <c r="C2336" s="3">
        <v>60.0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2" t="str">
        <f>IFERROR(__xludf.DUMMYFUNCTION("INDEX(SPLIT(A2336, ""/""), 0, 2)"),"regex")</f>
        <v>regex</v>
      </c>
      <c r="J2336" s="2" t="b">
        <f t="shared" si="1"/>
        <v>0</v>
      </c>
    </row>
    <row r="2337">
      <c r="A2337" s="1" t="s">
        <v>1691</v>
      </c>
      <c r="B2337" s="3">
        <v>23.0</v>
      </c>
      <c r="C2337" s="3">
        <v>60.0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2" t="str">
        <f>IFERROR(__xludf.DUMMYFUNCTION("INDEX(SPLIT(A2337, ""/""), 0, 2)"),"regex")</f>
        <v>regex</v>
      </c>
      <c r="J2337" s="2" t="b">
        <f t="shared" si="1"/>
        <v>0</v>
      </c>
    </row>
    <row r="2338">
      <c r="A2338" s="1" t="s">
        <v>1692</v>
      </c>
      <c r="B2338" s="3">
        <v>47.0</v>
      </c>
      <c r="C2338" s="3">
        <v>60.0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2" t="str">
        <f>IFERROR(__xludf.DUMMYFUNCTION("INDEX(SPLIT(A2338, ""/""), 0, 2)"),"regex")</f>
        <v>regex</v>
      </c>
      <c r="J2338" s="2" t="b">
        <f t="shared" si="1"/>
        <v>0</v>
      </c>
    </row>
    <row r="2339">
      <c r="A2339" s="1" t="s">
        <v>1693</v>
      </c>
      <c r="B2339" s="3">
        <v>26.0</v>
      </c>
      <c r="C2339" s="3">
        <v>60.0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2" t="str">
        <f>IFERROR(__xludf.DUMMYFUNCTION("INDEX(SPLIT(A2339, ""/""), 0, 2)"),"regex")</f>
        <v>regex</v>
      </c>
      <c r="J2339" s="2" t="b">
        <f t="shared" si="1"/>
        <v>0</v>
      </c>
    </row>
    <row r="2340">
      <c r="A2340" s="1" t="s">
        <v>1694</v>
      </c>
      <c r="B2340" s="3">
        <v>27.0</v>
      </c>
      <c r="C2340" s="3">
        <v>60.0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2" t="str">
        <f>IFERROR(__xludf.DUMMYFUNCTION("INDEX(SPLIT(A2340, ""/""), 0, 2)"),"regex")</f>
        <v>regex</v>
      </c>
      <c r="J2340" s="2" t="b">
        <f t="shared" si="1"/>
        <v>0</v>
      </c>
    </row>
    <row r="2341">
      <c r="A2341" s="1" t="s">
        <v>1695</v>
      </c>
      <c r="B2341" s="3">
        <v>25.0</v>
      </c>
      <c r="C2341" s="3">
        <v>60.0</v>
      </c>
      <c r="D2341" s="3">
        <v>0.0</v>
      </c>
      <c r="E2341" s="3">
        <v>0.0</v>
      </c>
      <c r="F2341" s="3">
        <v>0.0</v>
      </c>
      <c r="G2341" s="3">
        <v>0.0</v>
      </c>
      <c r="H2341" s="3">
        <v>0.0</v>
      </c>
      <c r="I2341" s="2" t="str">
        <f>IFERROR(__xludf.DUMMYFUNCTION("INDEX(SPLIT(A2341, ""/""), 0, 2)"),"regex")</f>
        <v>regex</v>
      </c>
      <c r="J2341" s="2" t="b">
        <f t="shared" si="1"/>
        <v>0</v>
      </c>
    </row>
    <row r="2342">
      <c r="A2342" s="1" t="s">
        <v>1696</v>
      </c>
      <c r="B2342" s="3">
        <v>55.0</v>
      </c>
      <c r="C2342" s="3">
        <v>60.0</v>
      </c>
      <c r="D2342" s="3">
        <v>0.0</v>
      </c>
      <c r="E2342" s="3">
        <v>0.0</v>
      </c>
      <c r="F2342" s="3">
        <v>0.0</v>
      </c>
      <c r="G2342" s="3">
        <v>0.0</v>
      </c>
      <c r="H2342" s="3">
        <v>0.0</v>
      </c>
      <c r="I2342" s="2" t="str">
        <f>IFERROR(__xludf.DUMMYFUNCTION("INDEX(SPLIT(A2342, ""/""), 0, 2)"),"regex")</f>
        <v>regex</v>
      </c>
      <c r="J2342" s="2" t="b">
        <f t="shared" si="1"/>
        <v>0</v>
      </c>
    </row>
    <row r="2343">
      <c r="A2343" s="1" t="s">
        <v>1697</v>
      </c>
      <c r="B2343" s="3">
        <v>46.0</v>
      </c>
      <c r="C2343" s="3">
        <v>60.0</v>
      </c>
      <c r="D2343" s="3">
        <v>0.0</v>
      </c>
      <c r="E2343" s="3">
        <v>0.0</v>
      </c>
      <c r="F2343" s="3">
        <v>0.0</v>
      </c>
      <c r="G2343" s="3">
        <v>0.0</v>
      </c>
      <c r="H2343" s="3">
        <v>0.0</v>
      </c>
      <c r="I2343" s="2" t="str">
        <f>IFERROR(__xludf.DUMMYFUNCTION("INDEX(SPLIT(A2343, ""/""), 0, 2)"),"regex")</f>
        <v>regex</v>
      </c>
      <c r="J2343" s="2" t="b">
        <f t="shared" si="1"/>
        <v>0</v>
      </c>
    </row>
    <row r="2344">
      <c r="A2344" s="1" t="s">
        <v>1698</v>
      </c>
      <c r="B2344" s="3">
        <v>126.0</v>
      </c>
      <c r="C2344" s="3">
        <v>60.0</v>
      </c>
      <c r="D2344" s="3">
        <v>0.0</v>
      </c>
      <c r="E2344" s="3">
        <v>0.0</v>
      </c>
      <c r="F2344" s="3">
        <v>0.0</v>
      </c>
      <c r="G2344" s="3">
        <v>0.0</v>
      </c>
      <c r="H2344" s="3">
        <v>0.0</v>
      </c>
      <c r="I2344" s="2" t="str">
        <f>IFERROR(__xludf.DUMMYFUNCTION("INDEX(SPLIT(A2344, ""/""), 0, 2)"),"regex")</f>
        <v>regex</v>
      </c>
      <c r="J2344" s="2" t="b">
        <f t="shared" si="1"/>
        <v>0</v>
      </c>
    </row>
    <row r="2345">
      <c r="A2345" s="1" t="s">
        <v>1699</v>
      </c>
      <c r="B2345" s="3">
        <v>19.0</v>
      </c>
      <c r="C2345" s="3">
        <v>60.0</v>
      </c>
      <c r="D2345" s="3">
        <v>0.0</v>
      </c>
      <c r="E2345" s="3">
        <v>0.0</v>
      </c>
      <c r="F2345" s="3">
        <v>0.0</v>
      </c>
      <c r="G2345" s="3">
        <v>0.0</v>
      </c>
      <c r="H2345" s="3">
        <v>0.0</v>
      </c>
      <c r="I2345" s="2" t="str">
        <f>IFERROR(__xludf.DUMMYFUNCTION("INDEX(SPLIT(A2345, ""/""), 0, 2)"),"regex")</f>
        <v>regex</v>
      </c>
      <c r="J2345" s="2" t="b">
        <f t="shared" si="1"/>
        <v>0</v>
      </c>
    </row>
    <row r="2346">
      <c r="A2346" s="1" t="s">
        <v>1700</v>
      </c>
      <c r="B2346" s="3">
        <v>3.0</v>
      </c>
      <c r="C2346" s="3">
        <v>60.0</v>
      </c>
      <c r="D2346" s="3">
        <v>0.0</v>
      </c>
      <c r="E2346" s="3">
        <v>0.0</v>
      </c>
      <c r="F2346" s="3">
        <v>0.0</v>
      </c>
      <c r="G2346" s="3">
        <v>0.0</v>
      </c>
      <c r="H2346" s="3">
        <v>0.0</v>
      </c>
      <c r="I2346" s="2" t="str">
        <f>IFERROR(__xludf.DUMMYFUNCTION("INDEX(SPLIT(A2346, ""/""), 0, 2)"),"regex")</f>
        <v>regex</v>
      </c>
      <c r="J2346" s="2" t="b">
        <f t="shared" si="1"/>
        <v>0</v>
      </c>
    </row>
    <row r="2347">
      <c r="A2347" s="1" t="s">
        <v>1701</v>
      </c>
      <c r="B2347" s="3">
        <v>26.0</v>
      </c>
      <c r="C2347" s="3">
        <v>60.0</v>
      </c>
      <c r="D2347" s="3">
        <v>0.0</v>
      </c>
      <c r="E2347" s="3">
        <v>0.0</v>
      </c>
      <c r="F2347" s="3">
        <v>0.0</v>
      </c>
      <c r="G2347" s="3">
        <v>0.0</v>
      </c>
      <c r="H2347" s="3">
        <v>0.0</v>
      </c>
      <c r="I2347" s="2" t="str">
        <f>IFERROR(__xludf.DUMMYFUNCTION("INDEX(SPLIT(A2347, ""/""), 0, 2)"),"regex")</f>
        <v>regex</v>
      </c>
      <c r="J2347" s="2" t="b">
        <f t="shared" si="1"/>
        <v>0</v>
      </c>
    </row>
    <row r="2348">
      <c r="A2348" s="1" t="s">
        <v>1702</v>
      </c>
      <c r="B2348" s="3">
        <v>18.0</v>
      </c>
      <c r="C2348" s="3">
        <v>60.0</v>
      </c>
      <c r="D2348" s="3">
        <v>0.0</v>
      </c>
      <c r="E2348" s="3">
        <v>0.0</v>
      </c>
      <c r="F2348" s="3">
        <v>0.0</v>
      </c>
      <c r="G2348" s="3">
        <v>0.0</v>
      </c>
      <c r="H2348" s="3">
        <v>0.0</v>
      </c>
      <c r="I2348" s="2" t="str">
        <f>IFERROR(__xludf.DUMMYFUNCTION("INDEX(SPLIT(A2348, ""/""), 0, 2)"),"regex")</f>
        <v>regex</v>
      </c>
      <c r="J2348" s="2" t="b">
        <f t="shared" si="1"/>
        <v>0</v>
      </c>
    </row>
    <row r="2349">
      <c r="A2349" s="1" t="s">
        <v>1703</v>
      </c>
      <c r="B2349" s="3">
        <v>7.0</v>
      </c>
      <c r="C2349" s="3">
        <v>60.0</v>
      </c>
      <c r="D2349" s="3">
        <v>0.0</v>
      </c>
      <c r="E2349" s="3">
        <v>0.0</v>
      </c>
      <c r="F2349" s="3">
        <v>0.0</v>
      </c>
      <c r="G2349" s="3">
        <v>0.0</v>
      </c>
      <c r="H2349" s="3">
        <v>0.0</v>
      </c>
      <c r="I2349" s="2" t="str">
        <f>IFERROR(__xludf.DUMMYFUNCTION("INDEX(SPLIT(A2349, ""/""), 0, 2)"),"regex")</f>
        <v>regex</v>
      </c>
      <c r="J2349" s="2" t="b">
        <f t="shared" si="1"/>
        <v>0</v>
      </c>
    </row>
    <row r="2350">
      <c r="A2350" s="1" t="s">
        <v>1704</v>
      </c>
      <c r="B2350" s="3">
        <v>18.0</v>
      </c>
      <c r="C2350" s="3">
        <v>60.0</v>
      </c>
      <c r="D2350" s="3">
        <v>0.0</v>
      </c>
      <c r="E2350" s="3">
        <v>0.0</v>
      </c>
      <c r="F2350" s="3">
        <v>0.0</v>
      </c>
      <c r="G2350" s="3">
        <v>0.0</v>
      </c>
      <c r="H2350" s="3">
        <v>0.0</v>
      </c>
      <c r="I2350" s="2" t="str">
        <f>IFERROR(__xludf.DUMMYFUNCTION("INDEX(SPLIT(A2350, ""/""), 0, 2)"),"regex")</f>
        <v>regex</v>
      </c>
      <c r="J2350" s="2" t="b">
        <f t="shared" si="1"/>
        <v>0</v>
      </c>
    </row>
    <row r="2351">
      <c r="A2351" s="1" t="s">
        <v>1705</v>
      </c>
      <c r="B2351" s="3">
        <v>19.0</v>
      </c>
      <c r="C2351" s="3">
        <v>60.0</v>
      </c>
      <c r="D2351" s="3">
        <v>0.0</v>
      </c>
      <c r="E2351" s="3">
        <v>0.0</v>
      </c>
      <c r="F2351" s="3">
        <v>0.0</v>
      </c>
      <c r="G2351" s="3">
        <v>0.0</v>
      </c>
      <c r="H2351" s="3">
        <v>0.0</v>
      </c>
      <c r="I2351" s="2" t="str">
        <f>IFERROR(__xludf.DUMMYFUNCTION("INDEX(SPLIT(A2351, ""/""), 0, 2)"),"regex")</f>
        <v>regex</v>
      </c>
      <c r="J2351" s="2" t="b">
        <f t="shared" si="1"/>
        <v>0</v>
      </c>
    </row>
    <row r="2352">
      <c r="A2352" s="1" t="s">
        <v>1706</v>
      </c>
      <c r="B2352" s="3">
        <v>117.0</v>
      </c>
      <c r="C2352" s="3">
        <v>60.0</v>
      </c>
      <c r="D2352" s="3">
        <v>0.0</v>
      </c>
      <c r="E2352" s="3">
        <v>0.0</v>
      </c>
      <c r="F2352" s="3">
        <v>0.0</v>
      </c>
      <c r="G2352" s="3">
        <v>0.0</v>
      </c>
      <c r="H2352" s="3">
        <v>0.0</v>
      </c>
      <c r="I2352" s="2" t="str">
        <f>IFERROR(__xludf.DUMMYFUNCTION("INDEX(SPLIT(A2352, ""/""), 0, 2)"),"regex")</f>
        <v>regex</v>
      </c>
      <c r="J2352" s="2" t="b">
        <f t="shared" si="1"/>
        <v>0</v>
      </c>
    </row>
    <row r="2353">
      <c r="A2353" s="1" t="s">
        <v>1707</v>
      </c>
      <c r="B2353" s="3">
        <v>4.0</v>
      </c>
      <c r="C2353" s="3">
        <v>60.0</v>
      </c>
      <c r="D2353" s="3">
        <v>0.0</v>
      </c>
      <c r="E2353" s="3">
        <v>0.0</v>
      </c>
      <c r="F2353" s="3">
        <v>0.0</v>
      </c>
      <c r="G2353" s="3">
        <v>0.0</v>
      </c>
      <c r="H2353" s="3">
        <v>0.0</v>
      </c>
      <c r="I2353" s="2" t="str">
        <f>IFERROR(__xludf.DUMMYFUNCTION("INDEX(SPLIT(A2353, ""/""), 0, 2)"),"regex")</f>
        <v>regex</v>
      </c>
      <c r="J2353" s="2" t="b">
        <f t="shared" si="1"/>
        <v>0</v>
      </c>
    </row>
    <row r="2354">
      <c r="A2354" s="1" t="s">
        <v>1708</v>
      </c>
      <c r="B2354" s="3">
        <v>32.0</v>
      </c>
      <c r="C2354" s="3">
        <v>60.0</v>
      </c>
      <c r="D2354" s="3">
        <v>0.0</v>
      </c>
      <c r="E2354" s="3">
        <v>0.0</v>
      </c>
      <c r="F2354" s="3">
        <v>0.0</v>
      </c>
      <c r="G2354" s="3">
        <v>0.0</v>
      </c>
      <c r="H2354" s="3">
        <v>0.0</v>
      </c>
      <c r="I2354" s="2" t="str">
        <f>IFERROR(__xludf.DUMMYFUNCTION("INDEX(SPLIT(A2354, ""/""), 0, 2)"),"regex")</f>
        <v>regex</v>
      </c>
      <c r="J2354" s="2" t="b">
        <f t="shared" si="1"/>
        <v>0</v>
      </c>
    </row>
    <row r="2355">
      <c r="A2355" s="1" t="s">
        <v>1709</v>
      </c>
      <c r="B2355" s="3">
        <v>23.0</v>
      </c>
      <c r="C2355" s="3">
        <v>60.0</v>
      </c>
      <c r="D2355" s="3">
        <v>0.0</v>
      </c>
      <c r="E2355" s="3">
        <v>0.0</v>
      </c>
      <c r="F2355" s="3">
        <v>0.0</v>
      </c>
      <c r="G2355" s="3">
        <v>0.0</v>
      </c>
      <c r="H2355" s="3">
        <v>0.0</v>
      </c>
      <c r="I2355" s="2" t="str">
        <f>IFERROR(__xludf.DUMMYFUNCTION("INDEX(SPLIT(A2355, ""/""), 0, 2)"),"regex")</f>
        <v>regex</v>
      </c>
      <c r="J2355" s="2" t="b">
        <f t="shared" si="1"/>
        <v>0</v>
      </c>
    </row>
    <row r="2356">
      <c r="A2356" s="1" t="s">
        <v>1710</v>
      </c>
      <c r="B2356" s="3">
        <v>14.0</v>
      </c>
      <c r="C2356" s="3">
        <v>60.0</v>
      </c>
      <c r="D2356" s="3">
        <v>0.0</v>
      </c>
      <c r="E2356" s="3">
        <v>0.0</v>
      </c>
      <c r="F2356" s="3">
        <v>0.0</v>
      </c>
      <c r="G2356" s="3">
        <v>0.0</v>
      </c>
      <c r="H2356" s="3">
        <v>0.0</v>
      </c>
      <c r="I2356" s="2" t="str">
        <f>IFERROR(__xludf.DUMMYFUNCTION("INDEX(SPLIT(A2356, ""/""), 0, 2)"),"regex")</f>
        <v>regex</v>
      </c>
      <c r="J2356" s="2" t="b">
        <f t="shared" si="1"/>
        <v>0</v>
      </c>
    </row>
    <row r="2357">
      <c r="A2357" s="1" t="s">
        <v>1711</v>
      </c>
      <c r="B2357" s="3">
        <v>20.0</v>
      </c>
      <c r="C2357" s="3">
        <v>60.0</v>
      </c>
      <c r="D2357" s="3">
        <v>0.0</v>
      </c>
      <c r="E2357" s="3">
        <v>0.0</v>
      </c>
      <c r="F2357" s="3">
        <v>0.0</v>
      </c>
      <c r="G2357" s="3">
        <v>0.0</v>
      </c>
      <c r="H2357" s="3">
        <v>0.0</v>
      </c>
      <c r="I2357" s="2" t="str">
        <f>IFERROR(__xludf.DUMMYFUNCTION("INDEX(SPLIT(A2357, ""/""), 0, 2)"),"regex")</f>
        <v>regex</v>
      </c>
      <c r="J2357" s="2" t="b">
        <f t="shared" si="1"/>
        <v>0</v>
      </c>
    </row>
    <row r="2358">
      <c r="A2358" s="1" t="s">
        <v>1712</v>
      </c>
      <c r="B2358" s="3">
        <v>63.0</v>
      </c>
      <c r="C2358" s="3">
        <v>60.0</v>
      </c>
      <c r="D2358" s="3">
        <v>0.0</v>
      </c>
      <c r="E2358" s="3">
        <v>0.0</v>
      </c>
      <c r="F2358" s="3">
        <v>0.0</v>
      </c>
      <c r="G2358" s="3">
        <v>0.0</v>
      </c>
      <c r="H2358" s="3">
        <v>0.0</v>
      </c>
      <c r="I2358" s="2" t="str">
        <f>IFERROR(__xludf.DUMMYFUNCTION("INDEX(SPLIT(A2358, ""/""), 0, 2)"),"regex")</f>
        <v>regex</v>
      </c>
      <c r="J2358" s="2" t="b">
        <f t="shared" si="1"/>
        <v>0</v>
      </c>
    </row>
    <row r="2359">
      <c r="A2359" s="1" t="s">
        <v>1713</v>
      </c>
      <c r="B2359" s="3">
        <v>134.0</v>
      </c>
      <c r="C2359" s="3">
        <v>60.0</v>
      </c>
      <c r="D2359" s="3">
        <v>0.0</v>
      </c>
      <c r="E2359" s="3">
        <v>0.0</v>
      </c>
      <c r="F2359" s="3">
        <v>0.0</v>
      </c>
      <c r="G2359" s="3">
        <v>0.0</v>
      </c>
      <c r="H2359" s="3">
        <v>0.0</v>
      </c>
      <c r="I2359" s="2" t="str">
        <f>IFERROR(__xludf.DUMMYFUNCTION("INDEX(SPLIT(A2359, ""/""), 0, 2)"),"regex")</f>
        <v>regex</v>
      </c>
      <c r="J2359" s="2" t="b">
        <f t="shared" si="1"/>
        <v>0</v>
      </c>
    </row>
    <row r="2360">
      <c r="A2360" s="1" t="s">
        <v>1714</v>
      </c>
      <c r="B2360" s="3">
        <v>122.0</v>
      </c>
      <c r="C2360" s="3">
        <v>60.0</v>
      </c>
      <c r="D2360" s="3">
        <v>0.0</v>
      </c>
      <c r="E2360" s="3">
        <v>0.0</v>
      </c>
      <c r="F2360" s="3">
        <v>0.0</v>
      </c>
      <c r="G2360" s="3">
        <v>0.0</v>
      </c>
      <c r="H2360" s="3">
        <v>0.0</v>
      </c>
      <c r="I2360" s="2" t="str">
        <f>IFERROR(__xludf.DUMMYFUNCTION("INDEX(SPLIT(A2360, ""/""), 0, 2)"),"regex")</f>
        <v>regex</v>
      </c>
      <c r="J2360" s="2" t="b">
        <f t="shared" si="1"/>
        <v>0</v>
      </c>
    </row>
    <row r="2361">
      <c r="A2361" s="1" t="s">
        <v>1715</v>
      </c>
      <c r="B2361" s="3">
        <v>70.0</v>
      </c>
      <c r="C2361" s="3">
        <v>60.0</v>
      </c>
      <c r="D2361" s="3">
        <v>0.0</v>
      </c>
      <c r="E2361" s="3">
        <v>0.0</v>
      </c>
      <c r="F2361" s="3">
        <v>0.0</v>
      </c>
      <c r="G2361" s="3">
        <v>0.0</v>
      </c>
      <c r="H2361" s="3">
        <v>0.0</v>
      </c>
      <c r="I2361" s="2" t="str">
        <f>IFERROR(__xludf.DUMMYFUNCTION("INDEX(SPLIT(A2361, ""/""), 0, 2)"),"regex")</f>
        <v>regex</v>
      </c>
      <c r="J2361" s="2" t="b">
        <f t="shared" si="1"/>
        <v>0</v>
      </c>
    </row>
    <row r="2362">
      <c r="A2362" s="1" t="s">
        <v>1716</v>
      </c>
      <c r="B2362" s="3">
        <v>94.0</v>
      </c>
      <c r="C2362" s="3">
        <v>60.0</v>
      </c>
      <c r="D2362" s="3">
        <v>0.0</v>
      </c>
      <c r="E2362" s="3">
        <v>0.0</v>
      </c>
      <c r="F2362" s="3">
        <v>0.0</v>
      </c>
      <c r="G2362" s="3">
        <v>0.0</v>
      </c>
      <c r="H2362" s="3">
        <v>0.0</v>
      </c>
      <c r="I2362" s="2" t="str">
        <f>IFERROR(__xludf.DUMMYFUNCTION("INDEX(SPLIT(A2362, ""/""), 0, 2)"),"regex")</f>
        <v>regex</v>
      </c>
      <c r="J2362" s="2" t="b">
        <f t="shared" si="1"/>
        <v>0</v>
      </c>
    </row>
    <row r="2363">
      <c r="A2363" s="1" t="s">
        <v>1717</v>
      </c>
      <c r="B2363" s="3">
        <v>42.0</v>
      </c>
      <c r="C2363" s="3">
        <v>60.0</v>
      </c>
      <c r="D2363" s="3">
        <v>0.0</v>
      </c>
      <c r="E2363" s="3">
        <v>0.0</v>
      </c>
      <c r="F2363" s="3">
        <v>0.0</v>
      </c>
      <c r="G2363" s="3">
        <v>0.0</v>
      </c>
      <c r="H2363" s="3">
        <v>0.0</v>
      </c>
      <c r="I2363" s="2" t="str">
        <f>IFERROR(__xludf.DUMMYFUNCTION("INDEX(SPLIT(A2363, ""/""), 0, 2)"),"regex")</f>
        <v>regex</v>
      </c>
      <c r="J2363" s="2" t="b">
        <f t="shared" si="1"/>
        <v>0</v>
      </c>
    </row>
    <row r="2364">
      <c r="A2364" s="1" t="s">
        <v>1718</v>
      </c>
      <c r="B2364" s="3">
        <v>46.0</v>
      </c>
      <c r="C2364" s="3">
        <v>60.0</v>
      </c>
      <c r="D2364" s="3">
        <v>0.0</v>
      </c>
      <c r="E2364" s="3">
        <v>0.0</v>
      </c>
      <c r="F2364" s="3">
        <v>0.0</v>
      </c>
      <c r="G2364" s="3">
        <v>0.0</v>
      </c>
      <c r="H2364" s="3">
        <v>0.0</v>
      </c>
      <c r="I2364" s="2" t="str">
        <f>IFERROR(__xludf.DUMMYFUNCTION("INDEX(SPLIT(A2364, ""/""), 0, 2)"),"regex")</f>
        <v>regex</v>
      </c>
      <c r="J2364" s="2" t="b">
        <f t="shared" si="1"/>
        <v>0</v>
      </c>
    </row>
    <row r="2365">
      <c r="A2365" s="1" t="s">
        <v>1719</v>
      </c>
      <c r="B2365" s="3">
        <v>97.0</v>
      </c>
      <c r="C2365" s="3">
        <v>60.0</v>
      </c>
      <c r="D2365" s="3">
        <v>0.0</v>
      </c>
      <c r="E2365" s="3">
        <v>0.0</v>
      </c>
      <c r="F2365" s="3">
        <v>0.0</v>
      </c>
      <c r="G2365" s="3">
        <v>0.0</v>
      </c>
      <c r="H2365" s="3">
        <v>0.0</v>
      </c>
      <c r="I2365" s="2" t="str">
        <f>IFERROR(__xludf.DUMMYFUNCTION("INDEX(SPLIT(A2365, ""/""), 0, 2)"),"regex")</f>
        <v>regex</v>
      </c>
      <c r="J2365" s="2" t="b">
        <f t="shared" si="1"/>
        <v>0</v>
      </c>
    </row>
    <row r="2366">
      <c r="A2366" s="1" t="s">
        <v>1720</v>
      </c>
      <c r="B2366" s="3">
        <v>139.0</v>
      </c>
      <c r="C2366" s="3">
        <v>60.0</v>
      </c>
      <c r="D2366" s="3">
        <v>0.0</v>
      </c>
      <c r="E2366" s="3">
        <v>0.0</v>
      </c>
      <c r="F2366" s="3">
        <v>0.0</v>
      </c>
      <c r="G2366" s="3">
        <v>0.0</v>
      </c>
      <c r="H2366" s="3">
        <v>0.0</v>
      </c>
      <c r="I2366" s="2" t="str">
        <f>IFERROR(__xludf.DUMMYFUNCTION("INDEX(SPLIT(A2366, ""/""), 0, 2)"),"regex")</f>
        <v>regex</v>
      </c>
      <c r="J2366" s="2" t="b">
        <f t="shared" si="1"/>
        <v>0</v>
      </c>
    </row>
    <row r="2367">
      <c r="A2367" s="1" t="s">
        <v>1721</v>
      </c>
      <c r="B2367" s="3">
        <v>341.0</v>
      </c>
      <c r="C2367" s="3">
        <v>60.0</v>
      </c>
      <c r="D2367" s="3">
        <v>4.0</v>
      </c>
      <c r="E2367" s="3">
        <v>0.0</v>
      </c>
      <c r="F2367" s="3">
        <v>0.0</v>
      </c>
      <c r="G2367" s="3">
        <v>0.0</v>
      </c>
      <c r="H2367" s="3">
        <v>0.0</v>
      </c>
      <c r="I2367" s="2" t="str">
        <f>IFERROR(__xludf.DUMMYFUNCTION("INDEX(SPLIT(A2367, ""/""), 0, 2)"),"regex")</f>
        <v>regex</v>
      </c>
      <c r="J2367" s="2" t="b">
        <f t="shared" si="1"/>
        <v>0</v>
      </c>
    </row>
    <row r="2368">
      <c r="A2368" s="1" t="s">
        <v>1722</v>
      </c>
      <c r="B2368" s="3">
        <v>29.0</v>
      </c>
      <c r="C2368" s="3">
        <v>60.0</v>
      </c>
      <c r="D2368" s="3">
        <v>0.0</v>
      </c>
      <c r="E2368" s="3">
        <v>0.0</v>
      </c>
      <c r="F2368" s="3">
        <v>0.0</v>
      </c>
      <c r="G2368" s="3">
        <v>0.0</v>
      </c>
      <c r="H2368" s="3">
        <v>0.0</v>
      </c>
      <c r="I2368" s="2" t="str">
        <f>IFERROR(__xludf.DUMMYFUNCTION("INDEX(SPLIT(A2368, ""/""), 0, 2)"),"regex")</f>
        <v>regex</v>
      </c>
      <c r="J2368" s="2" t="b">
        <f t="shared" si="1"/>
        <v>0</v>
      </c>
    </row>
    <row r="2369">
      <c r="A2369" s="1" t="s">
        <v>1723</v>
      </c>
      <c r="B2369" s="3">
        <v>75.0</v>
      </c>
      <c r="C2369" s="3">
        <v>60.0</v>
      </c>
      <c r="D2369" s="3">
        <v>0.0</v>
      </c>
      <c r="E2369" s="3">
        <v>0.0</v>
      </c>
      <c r="F2369" s="3">
        <v>0.0</v>
      </c>
      <c r="G2369" s="3">
        <v>0.0</v>
      </c>
      <c r="H2369" s="3">
        <v>0.0</v>
      </c>
      <c r="I2369" s="2" t="str">
        <f>IFERROR(__xludf.DUMMYFUNCTION("INDEX(SPLIT(A2369, ""/""), 0, 2)"),"regex")</f>
        <v>regex</v>
      </c>
      <c r="J2369" s="2" t="b">
        <f t="shared" si="1"/>
        <v>0</v>
      </c>
    </row>
    <row r="2370">
      <c r="A2370" s="1" t="s">
        <v>1724</v>
      </c>
      <c r="B2370" s="3">
        <v>74.0</v>
      </c>
      <c r="C2370" s="3">
        <v>60.0</v>
      </c>
      <c r="D2370" s="3">
        <v>0.0</v>
      </c>
      <c r="E2370" s="3">
        <v>0.0</v>
      </c>
      <c r="F2370" s="3">
        <v>0.0</v>
      </c>
      <c r="G2370" s="3">
        <v>0.0</v>
      </c>
      <c r="H2370" s="3">
        <v>0.0</v>
      </c>
      <c r="I2370" s="2" t="str">
        <f>IFERROR(__xludf.DUMMYFUNCTION("INDEX(SPLIT(A2370, ""/""), 0, 2)"),"regex")</f>
        <v>regex</v>
      </c>
      <c r="J2370" s="2" t="b">
        <f t="shared" si="1"/>
        <v>0</v>
      </c>
    </row>
    <row r="2371">
      <c r="A2371" s="1" t="s">
        <v>1725</v>
      </c>
      <c r="B2371" s="3">
        <v>24.0</v>
      </c>
      <c r="C2371" s="3">
        <v>60.0</v>
      </c>
      <c r="D2371" s="3">
        <v>0.0</v>
      </c>
      <c r="E2371" s="3">
        <v>0.0</v>
      </c>
      <c r="F2371" s="3">
        <v>0.0</v>
      </c>
      <c r="G2371" s="3">
        <v>0.0</v>
      </c>
      <c r="H2371" s="3">
        <v>0.0</v>
      </c>
      <c r="I2371" s="2" t="str">
        <f>IFERROR(__xludf.DUMMYFUNCTION("INDEX(SPLIT(A2371, ""/""), 0, 2)"),"regex")</f>
        <v>regex</v>
      </c>
      <c r="J2371" s="2" t="b">
        <f t="shared" si="1"/>
        <v>0</v>
      </c>
    </row>
    <row r="2372">
      <c r="A2372" s="1" t="s">
        <v>1726</v>
      </c>
      <c r="B2372" s="3">
        <v>72.0</v>
      </c>
      <c r="C2372" s="3">
        <v>60.0</v>
      </c>
      <c r="D2372" s="3">
        <v>0.0</v>
      </c>
      <c r="E2372" s="3">
        <v>0.0</v>
      </c>
      <c r="F2372" s="3">
        <v>0.0</v>
      </c>
      <c r="G2372" s="3">
        <v>0.0</v>
      </c>
      <c r="H2372" s="3">
        <v>0.0</v>
      </c>
      <c r="I2372" s="2" t="str">
        <f>IFERROR(__xludf.DUMMYFUNCTION("INDEX(SPLIT(A2372, ""/""), 0, 2)"),"regex")</f>
        <v>regex</v>
      </c>
      <c r="J2372" s="2" t="b">
        <f t="shared" si="1"/>
        <v>0</v>
      </c>
    </row>
    <row r="2373">
      <c r="A2373" s="1" t="s">
        <v>1727</v>
      </c>
      <c r="B2373" s="3">
        <v>43.0</v>
      </c>
      <c r="C2373" s="3">
        <v>60.0</v>
      </c>
      <c r="D2373" s="3">
        <v>0.0</v>
      </c>
      <c r="E2373" s="3">
        <v>0.0</v>
      </c>
      <c r="F2373" s="3">
        <v>0.0</v>
      </c>
      <c r="G2373" s="3">
        <v>0.0</v>
      </c>
      <c r="H2373" s="3">
        <v>0.0</v>
      </c>
      <c r="I2373" s="2" t="str">
        <f>IFERROR(__xludf.DUMMYFUNCTION("INDEX(SPLIT(A2373, ""/""), 0, 2)"),"regex")</f>
        <v>regex</v>
      </c>
      <c r="J2373" s="2" t="b">
        <f t="shared" si="1"/>
        <v>0</v>
      </c>
    </row>
    <row r="2374">
      <c r="A2374" s="1" t="s">
        <v>1728</v>
      </c>
      <c r="B2374" s="3">
        <v>12.0</v>
      </c>
      <c r="C2374" s="3">
        <v>60.0</v>
      </c>
      <c r="D2374" s="3">
        <v>0.0</v>
      </c>
      <c r="E2374" s="3">
        <v>0.0</v>
      </c>
      <c r="F2374" s="3">
        <v>0.0</v>
      </c>
      <c r="G2374" s="3">
        <v>0.0</v>
      </c>
      <c r="H2374" s="3">
        <v>0.0</v>
      </c>
      <c r="I2374" s="2" t="str">
        <f>IFERROR(__xludf.DUMMYFUNCTION("INDEX(SPLIT(A2374, ""/""), 0, 2)"),"regex")</f>
        <v>regex</v>
      </c>
      <c r="J2374" s="2" t="b">
        <f t="shared" si="1"/>
        <v>0</v>
      </c>
    </row>
    <row r="2375">
      <c r="A2375" s="1" t="s">
        <v>1729</v>
      </c>
      <c r="B2375" s="3">
        <v>68.0</v>
      </c>
      <c r="C2375" s="3">
        <v>60.0</v>
      </c>
      <c r="D2375" s="3">
        <v>0.0</v>
      </c>
      <c r="E2375" s="3">
        <v>0.0</v>
      </c>
      <c r="F2375" s="3">
        <v>0.0</v>
      </c>
      <c r="G2375" s="3">
        <v>0.0</v>
      </c>
      <c r="H2375" s="3">
        <v>0.0</v>
      </c>
      <c r="I2375" s="2" t="str">
        <f>IFERROR(__xludf.DUMMYFUNCTION("INDEX(SPLIT(A2375, ""/""), 0, 2)"),"regex")</f>
        <v>regex</v>
      </c>
      <c r="J2375" s="2" t="b">
        <f t="shared" si="1"/>
        <v>0</v>
      </c>
    </row>
    <row r="2376">
      <c r="A2376" s="1" t="s">
        <v>1730</v>
      </c>
      <c r="B2376" s="3">
        <v>29.0</v>
      </c>
      <c r="C2376" s="3">
        <v>60.0</v>
      </c>
      <c r="D2376" s="3">
        <v>0.0</v>
      </c>
      <c r="E2376" s="3">
        <v>0.0</v>
      </c>
      <c r="F2376" s="3">
        <v>0.0</v>
      </c>
      <c r="G2376" s="3">
        <v>0.0</v>
      </c>
      <c r="H2376" s="3">
        <v>0.0</v>
      </c>
      <c r="I2376" s="2" t="str">
        <f>IFERROR(__xludf.DUMMYFUNCTION("INDEX(SPLIT(A2376, ""/""), 0, 2)"),"regex")</f>
        <v>regex</v>
      </c>
      <c r="J2376" s="2" t="b">
        <f t="shared" si="1"/>
        <v>0</v>
      </c>
    </row>
    <row r="2377">
      <c r="A2377" s="1" t="s">
        <v>1731</v>
      </c>
      <c r="B2377" s="3">
        <v>37.0</v>
      </c>
      <c r="C2377" s="3">
        <v>60.0</v>
      </c>
      <c r="D2377" s="3">
        <v>0.0</v>
      </c>
      <c r="E2377" s="3">
        <v>0.0</v>
      </c>
      <c r="F2377" s="3">
        <v>0.0</v>
      </c>
      <c r="G2377" s="3">
        <v>0.0</v>
      </c>
      <c r="H2377" s="3">
        <v>0.0</v>
      </c>
      <c r="I2377" s="2" t="str">
        <f>IFERROR(__xludf.DUMMYFUNCTION("INDEX(SPLIT(A2377, ""/""), 0, 2)"),"regex")</f>
        <v>regex</v>
      </c>
      <c r="J2377" s="2" t="b">
        <f t="shared" si="1"/>
        <v>0</v>
      </c>
    </row>
    <row r="2378">
      <c r="A2378" s="1" t="s">
        <v>1732</v>
      </c>
      <c r="B2378" s="3">
        <v>66.0</v>
      </c>
      <c r="C2378" s="3">
        <v>60.0</v>
      </c>
      <c r="D2378" s="3">
        <v>0.0</v>
      </c>
      <c r="E2378" s="3">
        <v>0.0</v>
      </c>
      <c r="F2378" s="3">
        <v>0.0</v>
      </c>
      <c r="G2378" s="3">
        <v>0.0</v>
      </c>
      <c r="H2378" s="3">
        <v>0.0</v>
      </c>
      <c r="I2378" s="2" t="str">
        <f>IFERROR(__xludf.DUMMYFUNCTION("INDEX(SPLIT(A2378, ""/""), 0, 2)"),"regex")</f>
        <v>regex</v>
      </c>
      <c r="J2378" s="2" t="b">
        <f t="shared" si="1"/>
        <v>0</v>
      </c>
    </row>
    <row r="2379">
      <c r="A2379" s="1" t="s">
        <v>1733</v>
      </c>
      <c r="B2379" s="3">
        <v>28.0</v>
      </c>
      <c r="C2379" s="3">
        <v>60.0</v>
      </c>
      <c r="D2379" s="3">
        <v>0.0</v>
      </c>
      <c r="E2379" s="3">
        <v>0.0</v>
      </c>
      <c r="F2379" s="3">
        <v>0.0</v>
      </c>
      <c r="G2379" s="3">
        <v>0.0</v>
      </c>
      <c r="H2379" s="3">
        <v>0.0</v>
      </c>
      <c r="I2379" s="2" t="str">
        <f>IFERROR(__xludf.DUMMYFUNCTION("INDEX(SPLIT(A2379, ""/""), 0, 2)"),"regex")</f>
        <v>regex</v>
      </c>
      <c r="J2379" s="2" t="b">
        <f t="shared" si="1"/>
        <v>0</v>
      </c>
    </row>
    <row r="2380">
      <c r="A2380" s="1" t="s">
        <v>1734</v>
      </c>
      <c r="B2380" s="3">
        <v>15.0</v>
      </c>
      <c r="C2380" s="3">
        <v>60.0</v>
      </c>
      <c r="D2380" s="3">
        <v>0.0</v>
      </c>
      <c r="E2380" s="3">
        <v>0.0</v>
      </c>
      <c r="F2380" s="3">
        <v>0.0</v>
      </c>
      <c r="G2380" s="3">
        <v>0.0</v>
      </c>
      <c r="H2380" s="3">
        <v>0.0</v>
      </c>
      <c r="I2380" s="2" t="str">
        <f>IFERROR(__xludf.DUMMYFUNCTION("INDEX(SPLIT(A2380, ""/""), 0, 2)"),"regex")</f>
        <v>regex</v>
      </c>
      <c r="J2380" s="2" t="b">
        <f t="shared" si="1"/>
        <v>0</v>
      </c>
    </row>
    <row r="2381">
      <c r="A2381" s="1" t="s">
        <v>1735</v>
      </c>
      <c r="B2381" s="3">
        <v>66.0</v>
      </c>
      <c r="C2381" s="3">
        <v>60.0</v>
      </c>
      <c r="D2381" s="3">
        <v>0.0</v>
      </c>
      <c r="E2381" s="3">
        <v>0.0</v>
      </c>
      <c r="F2381" s="3">
        <v>0.0</v>
      </c>
      <c r="G2381" s="3">
        <v>0.0</v>
      </c>
      <c r="H2381" s="3">
        <v>0.0</v>
      </c>
      <c r="I2381" s="2" t="str">
        <f>IFERROR(__xludf.DUMMYFUNCTION("INDEX(SPLIT(A2381, ""/""), 0, 2)"),"regex")</f>
        <v>regex</v>
      </c>
      <c r="J2381" s="2" t="b">
        <f t="shared" si="1"/>
        <v>0</v>
      </c>
    </row>
    <row r="2382">
      <c r="A2382" s="1" t="s">
        <v>1736</v>
      </c>
      <c r="B2382" s="3">
        <v>86.0</v>
      </c>
      <c r="C2382" s="3">
        <v>60.0</v>
      </c>
      <c r="D2382" s="3">
        <v>0.0</v>
      </c>
      <c r="E2382" s="3">
        <v>0.0</v>
      </c>
      <c r="F2382" s="3">
        <v>0.0</v>
      </c>
      <c r="G2382" s="3">
        <v>0.0</v>
      </c>
      <c r="H2382" s="3">
        <v>0.0</v>
      </c>
      <c r="I2382" s="2" t="str">
        <f>IFERROR(__xludf.DUMMYFUNCTION("INDEX(SPLIT(A2382, ""/""), 0, 2)"),"regex")</f>
        <v>regex</v>
      </c>
      <c r="J2382" s="2" t="b">
        <f t="shared" si="1"/>
        <v>0</v>
      </c>
    </row>
    <row r="2383">
      <c r="A2383" s="1" t="s">
        <v>1737</v>
      </c>
      <c r="B2383" s="3">
        <v>5.0</v>
      </c>
      <c r="C2383" s="3">
        <v>60.0</v>
      </c>
      <c r="D2383" s="3">
        <v>0.0</v>
      </c>
      <c r="E2383" s="3">
        <v>0.0</v>
      </c>
      <c r="F2383" s="3">
        <v>0.0</v>
      </c>
      <c r="G2383" s="3">
        <v>0.0</v>
      </c>
      <c r="H2383" s="3">
        <v>0.0</v>
      </c>
      <c r="I2383" s="2" t="str">
        <f>IFERROR(__xludf.DUMMYFUNCTION("INDEX(SPLIT(A2383, ""/""), 0, 2)"),"regex")</f>
        <v>regex</v>
      </c>
      <c r="J2383" s="2" t="b">
        <f t="shared" si="1"/>
        <v>0</v>
      </c>
    </row>
    <row r="2384">
      <c r="A2384" s="1" t="s">
        <v>1738</v>
      </c>
      <c r="B2384" s="3">
        <v>131.0</v>
      </c>
      <c r="C2384" s="3">
        <v>60.0</v>
      </c>
      <c r="D2384" s="3">
        <v>0.0</v>
      </c>
      <c r="E2384" s="3">
        <v>0.0</v>
      </c>
      <c r="F2384" s="3">
        <v>0.0</v>
      </c>
      <c r="G2384" s="3">
        <v>0.0</v>
      </c>
      <c r="H2384" s="3">
        <v>0.0</v>
      </c>
      <c r="I2384" s="2" t="str">
        <f>IFERROR(__xludf.DUMMYFUNCTION("INDEX(SPLIT(A2384, ""/""), 0, 2)"),"regex")</f>
        <v>regex</v>
      </c>
      <c r="J2384" s="2" t="b">
        <f t="shared" si="1"/>
        <v>0</v>
      </c>
    </row>
    <row r="2385">
      <c r="A2385" s="1" t="s">
        <v>1739</v>
      </c>
      <c r="B2385" s="3">
        <v>30.0</v>
      </c>
      <c r="C2385" s="3">
        <v>60.0</v>
      </c>
      <c r="D2385" s="3">
        <v>0.0</v>
      </c>
      <c r="E2385" s="3">
        <v>0.0</v>
      </c>
      <c r="F2385" s="3">
        <v>0.0</v>
      </c>
      <c r="G2385" s="3">
        <v>0.0</v>
      </c>
      <c r="H2385" s="3">
        <v>0.0</v>
      </c>
      <c r="I2385" s="2" t="str">
        <f>IFERROR(__xludf.DUMMYFUNCTION("INDEX(SPLIT(A2385, ""/""), 0, 2)"),"regex")</f>
        <v>regex</v>
      </c>
      <c r="J2385" s="2" t="b">
        <f t="shared" si="1"/>
        <v>0</v>
      </c>
    </row>
    <row r="2386">
      <c r="A2386" s="1" t="s">
        <v>1740</v>
      </c>
      <c r="B2386" s="3">
        <v>92.0</v>
      </c>
      <c r="C2386" s="3">
        <v>60.0</v>
      </c>
      <c r="D2386" s="3">
        <v>0.0</v>
      </c>
      <c r="E2386" s="3">
        <v>0.0</v>
      </c>
      <c r="F2386" s="3">
        <v>0.0</v>
      </c>
      <c r="G2386" s="3">
        <v>0.0</v>
      </c>
      <c r="H2386" s="3">
        <v>0.0</v>
      </c>
      <c r="I2386" s="2" t="str">
        <f>IFERROR(__xludf.DUMMYFUNCTION("INDEX(SPLIT(A2386, ""/""), 0, 2)"),"regex")</f>
        <v>regex</v>
      </c>
      <c r="J2386" s="2" t="b">
        <f t="shared" si="1"/>
        <v>0</v>
      </c>
    </row>
    <row r="2387">
      <c r="A2387" s="1" t="s">
        <v>1741</v>
      </c>
      <c r="B2387" s="3">
        <v>476.0</v>
      </c>
      <c r="C2387" s="3">
        <v>60.0</v>
      </c>
      <c r="D2387" s="3">
        <v>7.0</v>
      </c>
      <c r="E2387" s="3">
        <v>0.0</v>
      </c>
      <c r="F2387" s="3">
        <v>0.0</v>
      </c>
      <c r="G2387" s="3">
        <v>0.0</v>
      </c>
      <c r="H2387" s="3">
        <v>0.0</v>
      </c>
      <c r="I2387" s="2" t="str">
        <f>IFERROR(__xludf.DUMMYFUNCTION("INDEX(SPLIT(A2387, ""/""), 0, 2)"),"regex")</f>
        <v>regex</v>
      </c>
      <c r="J2387" s="2" t="b">
        <f t="shared" si="1"/>
        <v>0</v>
      </c>
    </row>
    <row r="2388">
      <c r="A2388" s="1" t="s">
        <v>1742</v>
      </c>
      <c r="B2388" s="3">
        <v>44.0</v>
      </c>
      <c r="C2388" s="3">
        <v>60.0</v>
      </c>
      <c r="D2388" s="3">
        <v>0.0</v>
      </c>
      <c r="E2388" s="3">
        <v>0.0</v>
      </c>
      <c r="F2388" s="3">
        <v>0.0</v>
      </c>
      <c r="G2388" s="3">
        <v>0.0</v>
      </c>
      <c r="H2388" s="3">
        <v>0.0</v>
      </c>
      <c r="I2388" s="2" t="str">
        <f>IFERROR(__xludf.DUMMYFUNCTION("INDEX(SPLIT(A2388, ""/""), 0, 2)"),"regex")</f>
        <v>regex</v>
      </c>
      <c r="J2388" s="2" t="b">
        <f t="shared" si="1"/>
        <v>0</v>
      </c>
    </row>
    <row r="2389">
      <c r="A2389" s="1" t="s">
        <v>1743</v>
      </c>
      <c r="B2389" s="3">
        <v>28.0</v>
      </c>
      <c r="C2389" s="3">
        <v>60.0</v>
      </c>
      <c r="D2389" s="3">
        <v>0.0</v>
      </c>
      <c r="E2389" s="3">
        <v>0.0</v>
      </c>
      <c r="F2389" s="3">
        <v>0.0</v>
      </c>
      <c r="G2389" s="3">
        <v>0.0</v>
      </c>
      <c r="H2389" s="3">
        <v>0.0</v>
      </c>
      <c r="I2389" s="2" t="str">
        <f>IFERROR(__xludf.DUMMYFUNCTION("INDEX(SPLIT(A2389, ""/""), 0, 2)"),"regex")</f>
        <v>regex</v>
      </c>
      <c r="J2389" s="2" t="b">
        <f t="shared" si="1"/>
        <v>0</v>
      </c>
    </row>
    <row r="2390">
      <c r="A2390" s="1" t="s">
        <v>1744</v>
      </c>
      <c r="B2390" s="3">
        <v>36.0</v>
      </c>
      <c r="C2390" s="3">
        <v>60.0</v>
      </c>
      <c r="D2390" s="3">
        <v>0.0</v>
      </c>
      <c r="E2390" s="3">
        <v>0.0</v>
      </c>
      <c r="F2390" s="3">
        <v>0.0</v>
      </c>
      <c r="G2390" s="3">
        <v>0.0</v>
      </c>
      <c r="H2390" s="3">
        <v>0.0</v>
      </c>
      <c r="I2390" s="2" t="str">
        <f>IFERROR(__xludf.DUMMYFUNCTION("INDEX(SPLIT(A2390, ""/""), 0, 2)"),"regex")</f>
        <v>regex</v>
      </c>
      <c r="J2390" s="2" t="b">
        <f t="shared" si="1"/>
        <v>0</v>
      </c>
    </row>
    <row r="2391">
      <c r="A2391" s="1" t="s">
        <v>1745</v>
      </c>
      <c r="B2391" s="3">
        <v>69.0</v>
      </c>
      <c r="C2391" s="3">
        <v>60.0</v>
      </c>
      <c r="D2391" s="3">
        <v>0.0</v>
      </c>
      <c r="E2391" s="3">
        <v>0.0</v>
      </c>
      <c r="F2391" s="3">
        <v>0.0</v>
      </c>
      <c r="G2391" s="3">
        <v>0.0</v>
      </c>
      <c r="H2391" s="3">
        <v>0.0</v>
      </c>
      <c r="I2391" s="2" t="str">
        <f>IFERROR(__xludf.DUMMYFUNCTION("INDEX(SPLIT(A2391, ""/""), 0, 2)"),"regex")</f>
        <v>regex</v>
      </c>
      <c r="J2391" s="2" t="b">
        <f t="shared" si="1"/>
        <v>0</v>
      </c>
    </row>
    <row r="2392">
      <c r="A2392" s="1" t="s">
        <v>1746</v>
      </c>
      <c r="B2392" s="3">
        <v>72.0</v>
      </c>
      <c r="C2392" s="3">
        <v>60.0</v>
      </c>
      <c r="D2392" s="3">
        <v>0.0</v>
      </c>
      <c r="E2392" s="3">
        <v>0.0</v>
      </c>
      <c r="F2392" s="3">
        <v>0.0</v>
      </c>
      <c r="G2392" s="3">
        <v>0.0</v>
      </c>
      <c r="H2392" s="3">
        <v>0.0</v>
      </c>
      <c r="I2392" s="2" t="str">
        <f>IFERROR(__xludf.DUMMYFUNCTION("INDEX(SPLIT(A2392, ""/""), 0, 2)"),"regex")</f>
        <v>regex</v>
      </c>
      <c r="J2392" s="2" t="b">
        <f t="shared" si="1"/>
        <v>0</v>
      </c>
    </row>
    <row r="2393">
      <c r="A2393" s="1" t="s">
        <v>1747</v>
      </c>
      <c r="B2393" s="3">
        <v>45.0</v>
      </c>
      <c r="C2393" s="3">
        <v>60.0</v>
      </c>
      <c r="D2393" s="3">
        <v>0.0</v>
      </c>
      <c r="E2393" s="3">
        <v>0.0</v>
      </c>
      <c r="F2393" s="3">
        <v>0.0</v>
      </c>
      <c r="G2393" s="3">
        <v>0.0</v>
      </c>
      <c r="H2393" s="3">
        <v>0.0</v>
      </c>
      <c r="I2393" s="2" t="str">
        <f>IFERROR(__xludf.DUMMYFUNCTION("INDEX(SPLIT(A2393, ""/""), 0, 2)"),"regex")</f>
        <v>regex</v>
      </c>
      <c r="J2393" s="2" t="b">
        <f t="shared" si="1"/>
        <v>0</v>
      </c>
    </row>
    <row r="2394">
      <c r="A2394" s="1" t="s">
        <v>1748</v>
      </c>
      <c r="B2394" s="3">
        <v>39.0</v>
      </c>
      <c r="C2394" s="3">
        <v>60.0</v>
      </c>
      <c r="D2394" s="3">
        <v>0.0</v>
      </c>
      <c r="E2394" s="3">
        <v>0.0</v>
      </c>
      <c r="F2394" s="3">
        <v>0.0</v>
      </c>
      <c r="G2394" s="3">
        <v>0.0</v>
      </c>
      <c r="H2394" s="3">
        <v>0.0</v>
      </c>
      <c r="I2394" s="2" t="str">
        <f>IFERROR(__xludf.DUMMYFUNCTION("INDEX(SPLIT(A2394, ""/""), 0, 2)"),"regex")</f>
        <v>regex</v>
      </c>
      <c r="J2394" s="2" t="b">
        <f t="shared" si="1"/>
        <v>0</v>
      </c>
    </row>
    <row r="2395">
      <c r="A2395" s="1" t="s">
        <v>1749</v>
      </c>
      <c r="B2395" s="3">
        <v>13.0</v>
      </c>
      <c r="C2395" s="3">
        <v>60.0</v>
      </c>
      <c r="D2395" s="3">
        <v>0.0</v>
      </c>
      <c r="E2395" s="3">
        <v>0.0</v>
      </c>
      <c r="F2395" s="3">
        <v>0.0</v>
      </c>
      <c r="G2395" s="3">
        <v>0.0</v>
      </c>
      <c r="H2395" s="3">
        <v>0.0</v>
      </c>
      <c r="I2395" s="2" t="str">
        <f>IFERROR(__xludf.DUMMYFUNCTION("INDEX(SPLIT(A2395, ""/""), 0, 2)"),"regex")</f>
        <v>regex</v>
      </c>
      <c r="J2395" s="2" t="b">
        <f t="shared" si="1"/>
        <v>0</v>
      </c>
    </row>
    <row r="2396">
      <c r="A2396" s="1" t="s">
        <v>1750</v>
      </c>
      <c r="B2396" s="3">
        <v>16.0</v>
      </c>
      <c r="C2396" s="3">
        <v>60.0</v>
      </c>
      <c r="D2396" s="3">
        <v>0.0</v>
      </c>
      <c r="E2396" s="3">
        <v>0.0</v>
      </c>
      <c r="F2396" s="3">
        <v>0.0</v>
      </c>
      <c r="G2396" s="3">
        <v>0.0</v>
      </c>
      <c r="H2396" s="3">
        <v>0.0</v>
      </c>
      <c r="I2396" s="2" t="str">
        <f>IFERROR(__xludf.DUMMYFUNCTION("INDEX(SPLIT(A2396, ""/""), 0, 2)"),"regex")</f>
        <v>regex</v>
      </c>
      <c r="J2396" s="2" t="b">
        <f t="shared" si="1"/>
        <v>0</v>
      </c>
    </row>
    <row r="2397">
      <c r="A2397" s="1" t="s">
        <v>1751</v>
      </c>
      <c r="B2397" s="3">
        <v>66.0</v>
      </c>
      <c r="C2397" s="3">
        <v>60.0</v>
      </c>
      <c r="D2397" s="3">
        <v>0.0</v>
      </c>
      <c r="E2397" s="3">
        <v>0.0</v>
      </c>
      <c r="F2397" s="3">
        <v>0.0</v>
      </c>
      <c r="G2397" s="3">
        <v>0.0</v>
      </c>
      <c r="H2397" s="3">
        <v>0.0</v>
      </c>
      <c r="I2397" s="2" t="str">
        <f>IFERROR(__xludf.DUMMYFUNCTION("INDEX(SPLIT(A2397, ""/""), 0, 2)"),"regex")</f>
        <v>regex</v>
      </c>
      <c r="J2397" s="2" t="b">
        <f t="shared" si="1"/>
        <v>0</v>
      </c>
    </row>
    <row r="2398">
      <c r="A2398" s="1" t="s">
        <v>1752</v>
      </c>
      <c r="B2398" s="3">
        <v>23.0</v>
      </c>
      <c r="C2398" s="3">
        <v>60.0</v>
      </c>
      <c r="D2398" s="3">
        <v>0.0</v>
      </c>
      <c r="E2398" s="3">
        <v>0.0</v>
      </c>
      <c r="F2398" s="3">
        <v>0.0</v>
      </c>
      <c r="G2398" s="3">
        <v>0.0</v>
      </c>
      <c r="H2398" s="3">
        <v>0.0</v>
      </c>
      <c r="I2398" s="2" t="str">
        <f>IFERROR(__xludf.DUMMYFUNCTION("INDEX(SPLIT(A2398, ""/""), 0, 2)"),"regex")</f>
        <v>regex</v>
      </c>
      <c r="J2398" s="2" t="b">
        <f t="shared" si="1"/>
        <v>0</v>
      </c>
    </row>
    <row r="2399">
      <c r="A2399" s="1" t="s">
        <v>1753</v>
      </c>
      <c r="B2399" s="3">
        <v>36.0</v>
      </c>
      <c r="C2399" s="3">
        <v>60.0</v>
      </c>
      <c r="D2399" s="3">
        <v>0.0</v>
      </c>
      <c r="E2399" s="3">
        <v>0.0</v>
      </c>
      <c r="F2399" s="3">
        <v>0.0</v>
      </c>
      <c r="G2399" s="3">
        <v>0.0</v>
      </c>
      <c r="H2399" s="3">
        <v>0.0</v>
      </c>
      <c r="I2399" s="2" t="str">
        <f>IFERROR(__xludf.DUMMYFUNCTION("INDEX(SPLIT(A2399, ""/""), 0, 2)"),"regex")</f>
        <v>regex</v>
      </c>
      <c r="J2399" s="2" t="b">
        <f t="shared" si="1"/>
        <v>0</v>
      </c>
    </row>
    <row r="2400">
      <c r="A2400" s="1" t="s">
        <v>1754</v>
      </c>
      <c r="B2400" s="3">
        <v>35.0</v>
      </c>
      <c r="C2400" s="3">
        <v>60.0</v>
      </c>
      <c r="D2400" s="3">
        <v>0.0</v>
      </c>
      <c r="E2400" s="3">
        <v>0.0</v>
      </c>
      <c r="F2400" s="3">
        <v>0.0</v>
      </c>
      <c r="G2400" s="3">
        <v>0.0</v>
      </c>
      <c r="H2400" s="3">
        <v>0.0</v>
      </c>
      <c r="I2400" s="2" t="str">
        <f>IFERROR(__xludf.DUMMYFUNCTION("INDEX(SPLIT(A2400, ""/""), 0, 2)"),"regex")</f>
        <v>regex</v>
      </c>
      <c r="J2400" s="2" t="b">
        <f t="shared" si="1"/>
        <v>0</v>
      </c>
    </row>
    <row r="2401">
      <c r="A2401" s="1" t="s">
        <v>1755</v>
      </c>
      <c r="B2401" s="3">
        <v>5.0</v>
      </c>
      <c r="C2401" s="3">
        <v>60.0</v>
      </c>
      <c r="D2401" s="3">
        <v>0.0</v>
      </c>
      <c r="E2401" s="3">
        <v>0.0</v>
      </c>
      <c r="F2401" s="3">
        <v>0.0</v>
      </c>
      <c r="G2401" s="3">
        <v>0.0</v>
      </c>
      <c r="H2401" s="3">
        <v>0.0</v>
      </c>
      <c r="I2401" s="2" t="str">
        <f>IFERROR(__xludf.DUMMYFUNCTION("INDEX(SPLIT(A2401, ""/""), 0, 2)"),"regex")</f>
        <v>regex</v>
      </c>
      <c r="J2401" s="2" t="b">
        <f t="shared" si="1"/>
        <v>0</v>
      </c>
    </row>
    <row r="2402">
      <c r="A2402" s="1" t="s">
        <v>1756</v>
      </c>
      <c r="B2402" s="3">
        <v>42.0</v>
      </c>
      <c r="C2402" s="3">
        <v>60.0</v>
      </c>
      <c r="D2402" s="3">
        <v>0.0</v>
      </c>
      <c r="E2402" s="3">
        <v>0.0</v>
      </c>
      <c r="F2402" s="3">
        <v>0.0</v>
      </c>
      <c r="G2402" s="3">
        <v>0.0</v>
      </c>
      <c r="H2402" s="3">
        <v>0.0</v>
      </c>
      <c r="I2402" s="2" t="str">
        <f>IFERROR(__xludf.DUMMYFUNCTION("INDEX(SPLIT(A2402, ""/""), 0, 2)"),"regex")</f>
        <v>regex</v>
      </c>
      <c r="J2402" s="2" t="b">
        <f t="shared" si="1"/>
        <v>0</v>
      </c>
    </row>
    <row r="2403">
      <c r="A2403" s="1" t="s">
        <v>1757</v>
      </c>
      <c r="B2403" s="3">
        <v>10.0</v>
      </c>
      <c r="C2403" s="3">
        <v>60.0</v>
      </c>
      <c r="D2403" s="3">
        <v>0.0</v>
      </c>
      <c r="E2403" s="3">
        <v>0.0</v>
      </c>
      <c r="F2403" s="3">
        <v>0.0</v>
      </c>
      <c r="G2403" s="3">
        <v>0.0</v>
      </c>
      <c r="H2403" s="3">
        <v>0.0</v>
      </c>
      <c r="I2403" s="2" t="str">
        <f>IFERROR(__xludf.DUMMYFUNCTION("INDEX(SPLIT(A2403, ""/""), 0, 2)"),"regex")</f>
        <v>regex</v>
      </c>
      <c r="J2403" s="2" t="b">
        <f t="shared" si="1"/>
        <v>0</v>
      </c>
    </row>
    <row r="2404">
      <c r="A2404" s="1" t="s">
        <v>1758</v>
      </c>
      <c r="B2404" s="3">
        <v>38.0</v>
      </c>
      <c r="C2404" s="3">
        <v>60.0</v>
      </c>
      <c r="D2404" s="3">
        <v>0.0</v>
      </c>
      <c r="E2404" s="3">
        <v>0.0</v>
      </c>
      <c r="F2404" s="3">
        <v>0.0</v>
      </c>
      <c r="G2404" s="3">
        <v>0.0</v>
      </c>
      <c r="H2404" s="3">
        <v>0.0</v>
      </c>
      <c r="I2404" s="2" t="str">
        <f>IFERROR(__xludf.DUMMYFUNCTION("INDEX(SPLIT(A2404, ""/""), 0, 2)"),"regex")</f>
        <v>regex</v>
      </c>
      <c r="J2404" s="2" t="b">
        <f t="shared" si="1"/>
        <v>0</v>
      </c>
    </row>
    <row r="2405">
      <c r="A2405" s="1" t="s">
        <v>1759</v>
      </c>
      <c r="B2405" s="3">
        <v>27.0</v>
      </c>
      <c r="C2405" s="3">
        <v>60.0</v>
      </c>
      <c r="D2405" s="3">
        <v>0.0</v>
      </c>
      <c r="E2405" s="3">
        <v>0.0</v>
      </c>
      <c r="F2405" s="3">
        <v>0.0</v>
      </c>
      <c r="G2405" s="3">
        <v>0.0</v>
      </c>
      <c r="H2405" s="3">
        <v>0.0</v>
      </c>
      <c r="I2405" s="2" t="str">
        <f>IFERROR(__xludf.DUMMYFUNCTION("INDEX(SPLIT(A2405, ""/""), 0, 2)"),"regex")</f>
        <v>regex</v>
      </c>
      <c r="J2405" s="2" t="b">
        <f t="shared" si="1"/>
        <v>0</v>
      </c>
    </row>
    <row r="2406">
      <c r="A2406" s="1" t="s">
        <v>1760</v>
      </c>
      <c r="B2406" s="3">
        <v>38.0</v>
      </c>
      <c r="C2406" s="3">
        <v>60.0</v>
      </c>
      <c r="D2406" s="3">
        <v>0.0</v>
      </c>
      <c r="E2406" s="3">
        <v>0.0</v>
      </c>
      <c r="F2406" s="3">
        <v>0.0</v>
      </c>
      <c r="G2406" s="3">
        <v>0.0</v>
      </c>
      <c r="H2406" s="3">
        <v>0.0</v>
      </c>
      <c r="I2406" s="2" t="str">
        <f>IFERROR(__xludf.DUMMYFUNCTION("INDEX(SPLIT(A2406, ""/""), 0, 2)"),"regex")</f>
        <v>regex</v>
      </c>
      <c r="J2406" s="2" t="b">
        <f t="shared" si="1"/>
        <v>0</v>
      </c>
    </row>
    <row r="2407">
      <c r="A2407" s="1" t="s">
        <v>1761</v>
      </c>
      <c r="B2407" s="3">
        <v>34.0</v>
      </c>
      <c r="C2407" s="3">
        <v>60.0</v>
      </c>
      <c r="D2407" s="3">
        <v>0.0</v>
      </c>
      <c r="E2407" s="3">
        <v>0.0</v>
      </c>
      <c r="F2407" s="3">
        <v>0.0</v>
      </c>
      <c r="G2407" s="3">
        <v>0.0</v>
      </c>
      <c r="H2407" s="3">
        <v>0.0</v>
      </c>
      <c r="I2407" s="2" t="str">
        <f>IFERROR(__xludf.DUMMYFUNCTION("INDEX(SPLIT(A2407, ""/""), 0, 2)"),"regex")</f>
        <v>regex</v>
      </c>
      <c r="J2407" s="2" t="b">
        <f t="shared" si="1"/>
        <v>0</v>
      </c>
    </row>
    <row r="2408">
      <c r="A2408" s="1" t="s">
        <v>1762</v>
      </c>
      <c r="B2408" s="3">
        <v>143.0</v>
      </c>
      <c r="C2408" s="3">
        <v>60.0</v>
      </c>
      <c r="D2408" s="3">
        <v>0.0</v>
      </c>
      <c r="E2408" s="3">
        <v>0.0</v>
      </c>
      <c r="F2408" s="3">
        <v>0.0</v>
      </c>
      <c r="G2408" s="3">
        <v>0.0</v>
      </c>
      <c r="H2408" s="3">
        <v>0.0</v>
      </c>
      <c r="I2408" s="2" t="str">
        <f>IFERROR(__xludf.DUMMYFUNCTION("INDEX(SPLIT(A2408, ""/""), 0, 2)"),"regex")</f>
        <v>regex</v>
      </c>
      <c r="J2408" s="2" t="b">
        <f t="shared" si="1"/>
        <v>0</v>
      </c>
    </row>
    <row r="2409">
      <c r="A2409" s="1" t="s">
        <v>1763</v>
      </c>
      <c r="B2409" s="3">
        <v>2579.0</v>
      </c>
      <c r="C2409" s="3">
        <v>60.0</v>
      </c>
      <c r="D2409" s="3">
        <v>5.0</v>
      </c>
      <c r="E2409" s="3">
        <v>0.0</v>
      </c>
      <c r="F2409" s="3">
        <v>0.0</v>
      </c>
      <c r="G2409" s="3">
        <v>0.0</v>
      </c>
      <c r="H2409" s="3">
        <v>0.0</v>
      </c>
      <c r="I2409" s="2" t="str">
        <f>IFERROR(__xludf.DUMMYFUNCTION("INDEX(SPLIT(A2409, ""/""), 0, 2)"),"regex")</f>
        <v>regex</v>
      </c>
      <c r="J2409" s="2" t="b">
        <f t="shared" si="1"/>
        <v>0</v>
      </c>
    </row>
    <row r="2410">
      <c r="A2410" s="1" t="s">
        <v>1764</v>
      </c>
      <c r="B2410" s="3">
        <v>15.0</v>
      </c>
      <c r="C2410" s="3">
        <v>60.0</v>
      </c>
      <c r="D2410" s="3">
        <v>0.0</v>
      </c>
      <c r="E2410" s="3">
        <v>0.0</v>
      </c>
      <c r="F2410" s="3">
        <v>0.0</v>
      </c>
      <c r="G2410" s="3">
        <v>0.0</v>
      </c>
      <c r="H2410" s="3">
        <v>0.0</v>
      </c>
      <c r="I2410" s="2" t="str">
        <f>IFERROR(__xludf.DUMMYFUNCTION("INDEX(SPLIT(A2410, ""/""), 0, 2)"),"regex")</f>
        <v>regex</v>
      </c>
      <c r="J2410" s="2" t="b">
        <f t="shared" si="1"/>
        <v>0</v>
      </c>
    </row>
    <row r="2411">
      <c r="A2411" s="1" t="s">
        <v>1765</v>
      </c>
      <c r="B2411" s="3">
        <v>67.0</v>
      </c>
      <c r="C2411" s="3">
        <v>60.0</v>
      </c>
      <c r="D2411" s="3">
        <v>0.0</v>
      </c>
      <c r="E2411" s="3">
        <v>0.0</v>
      </c>
      <c r="F2411" s="3">
        <v>0.0</v>
      </c>
      <c r="G2411" s="3">
        <v>0.0</v>
      </c>
      <c r="H2411" s="3">
        <v>0.0</v>
      </c>
      <c r="I2411" s="2" t="str">
        <f>IFERROR(__xludf.DUMMYFUNCTION("INDEX(SPLIT(A2411, ""/""), 0, 2)"),"regex")</f>
        <v>regex</v>
      </c>
      <c r="J2411" s="2" t="b">
        <f t="shared" si="1"/>
        <v>0</v>
      </c>
    </row>
    <row r="2412">
      <c r="A2412" s="1" t="s">
        <v>1766</v>
      </c>
      <c r="B2412" s="3">
        <v>43.0</v>
      </c>
      <c r="C2412" s="3">
        <v>60.0</v>
      </c>
      <c r="D2412" s="3">
        <v>0.0</v>
      </c>
      <c r="E2412" s="3">
        <v>0.0</v>
      </c>
      <c r="F2412" s="3">
        <v>0.0</v>
      </c>
      <c r="G2412" s="3">
        <v>0.0</v>
      </c>
      <c r="H2412" s="3">
        <v>0.0</v>
      </c>
      <c r="I2412" s="2" t="str">
        <f>IFERROR(__xludf.DUMMYFUNCTION("INDEX(SPLIT(A2412, ""/""), 0, 2)"),"regex")</f>
        <v>regex</v>
      </c>
      <c r="J2412" s="2" t="b">
        <f t="shared" si="1"/>
        <v>0</v>
      </c>
    </row>
    <row r="2413">
      <c r="A2413" s="1" t="s">
        <v>1767</v>
      </c>
      <c r="B2413" s="3">
        <v>58.0</v>
      </c>
      <c r="C2413" s="3">
        <v>60.0</v>
      </c>
      <c r="D2413" s="3">
        <v>0.0</v>
      </c>
      <c r="E2413" s="3">
        <v>0.0</v>
      </c>
      <c r="F2413" s="3">
        <v>0.0</v>
      </c>
      <c r="G2413" s="3">
        <v>0.0</v>
      </c>
      <c r="H2413" s="3">
        <v>0.0</v>
      </c>
      <c r="I2413" s="2" t="str">
        <f>IFERROR(__xludf.DUMMYFUNCTION("INDEX(SPLIT(A2413, ""/""), 0, 2)"),"regex")</f>
        <v>regex</v>
      </c>
      <c r="J2413" s="2" t="b">
        <f t="shared" si="1"/>
        <v>0</v>
      </c>
    </row>
    <row r="2414">
      <c r="A2414" s="1" t="s">
        <v>1768</v>
      </c>
      <c r="B2414" s="3">
        <v>40.0</v>
      </c>
      <c r="C2414" s="3">
        <v>60.0</v>
      </c>
      <c r="D2414" s="3">
        <v>0.0</v>
      </c>
      <c r="E2414" s="3">
        <v>0.0</v>
      </c>
      <c r="F2414" s="3">
        <v>0.0</v>
      </c>
      <c r="G2414" s="3">
        <v>0.0</v>
      </c>
      <c r="H2414" s="3">
        <v>0.0</v>
      </c>
      <c r="I2414" s="2" t="str">
        <f>IFERROR(__xludf.DUMMYFUNCTION("INDEX(SPLIT(A2414, ""/""), 0, 2)"),"regex")</f>
        <v>regex</v>
      </c>
      <c r="J2414" s="2" t="b">
        <f t="shared" si="1"/>
        <v>0</v>
      </c>
    </row>
    <row r="2415">
      <c r="A2415" s="1" t="s">
        <v>1769</v>
      </c>
      <c r="B2415" s="3">
        <v>79.0</v>
      </c>
      <c r="C2415" s="3">
        <v>60.0</v>
      </c>
      <c r="D2415" s="3">
        <v>0.0</v>
      </c>
      <c r="E2415" s="3">
        <v>0.0</v>
      </c>
      <c r="F2415" s="3">
        <v>0.0</v>
      </c>
      <c r="G2415" s="3">
        <v>0.0</v>
      </c>
      <c r="H2415" s="3">
        <v>0.0</v>
      </c>
      <c r="I2415" s="2" t="str">
        <f>IFERROR(__xludf.DUMMYFUNCTION("INDEX(SPLIT(A2415, ""/""), 0, 2)"),"regex")</f>
        <v>regex</v>
      </c>
      <c r="J2415" s="2" t="b">
        <f t="shared" si="1"/>
        <v>0</v>
      </c>
    </row>
    <row r="2416">
      <c r="A2416" s="1" t="s">
        <v>1770</v>
      </c>
      <c r="B2416" s="3">
        <v>40.0</v>
      </c>
      <c r="C2416" s="3">
        <v>60.0</v>
      </c>
      <c r="D2416" s="3">
        <v>0.0</v>
      </c>
      <c r="E2416" s="3">
        <v>0.0</v>
      </c>
      <c r="F2416" s="3">
        <v>0.0</v>
      </c>
      <c r="G2416" s="3">
        <v>0.0</v>
      </c>
      <c r="H2416" s="3">
        <v>0.0</v>
      </c>
      <c r="I2416" s="2" t="str">
        <f>IFERROR(__xludf.DUMMYFUNCTION("INDEX(SPLIT(A2416, ""/""), 0, 2)"),"regex")</f>
        <v>regex</v>
      </c>
      <c r="J2416" s="2" t="b">
        <f t="shared" si="1"/>
        <v>0</v>
      </c>
    </row>
    <row r="2417">
      <c r="A2417" s="1" t="s">
        <v>1771</v>
      </c>
      <c r="B2417" s="3">
        <v>14.0</v>
      </c>
      <c r="C2417" s="3">
        <v>60.0</v>
      </c>
      <c r="D2417" s="3">
        <v>0.0</v>
      </c>
      <c r="E2417" s="3">
        <v>0.0</v>
      </c>
      <c r="F2417" s="3">
        <v>0.0</v>
      </c>
      <c r="G2417" s="3">
        <v>0.0</v>
      </c>
      <c r="H2417" s="3">
        <v>0.0</v>
      </c>
      <c r="I2417" s="2" t="str">
        <f>IFERROR(__xludf.DUMMYFUNCTION("INDEX(SPLIT(A2417, ""/""), 0, 2)"),"regex")</f>
        <v>regex</v>
      </c>
      <c r="J2417" s="2" t="b">
        <f t="shared" si="1"/>
        <v>0</v>
      </c>
    </row>
    <row r="2418">
      <c r="A2418" s="1" t="s">
        <v>1772</v>
      </c>
      <c r="B2418" s="3">
        <v>140.0</v>
      </c>
      <c r="C2418" s="3">
        <v>60.0</v>
      </c>
      <c r="D2418" s="3">
        <v>0.0</v>
      </c>
      <c r="E2418" s="3">
        <v>0.0</v>
      </c>
      <c r="F2418" s="3">
        <v>0.0</v>
      </c>
      <c r="G2418" s="3">
        <v>0.0</v>
      </c>
      <c r="H2418" s="3">
        <v>0.0</v>
      </c>
      <c r="I2418" s="2" t="str">
        <f>IFERROR(__xludf.DUMMYFUNCTION("INDEX(SPLIT(A2418, ""/""), 0, 2)"),"regex")</f>
        <v>regex</v>
      </c>
      <c r="J2418" s="2" t="b">
        <f t="shared" si="1"/>
        <v>0</v>
      </c>
    </row>
    <row r="2419">
      <c r="A2419" s="1" t="s">
        <v>1773</v>
      </c>
      <c r="B2419" s="3">
        <v>14.0</v>
      </c>
      <c r="C2419" s="3">
        <v>60.0</v>
      </c>
      <c r="D2419" s="3">
        <v>0.0</v>
      </c>
      <c r="E2419" s="3">
        <v>0.0</v>
      </c>
      <c r="F2419" s="3">
        <v>0.0</v>
      </c>
      <c r="G2419" s="3">
        <v>0.0</v>
      </c>
      <c r="H2419" s="3">
        <v>0.0</v>
      </c>
      <c r="I2419" s="2" t="str">
        <f>IFERROR(__xludf.DUMMYFUNCTION("INDEX(SPLIT(A2419, ""/""), 0, 2)"),"regex")</f>
        <v>regex</v>
      </c>
      <c r="J2419" s="2" t="b">
        <f t="shared" si="1"/>
        <v>0</v>
      </c>
    </row>
    <row r="2420">
      <c r="A2420" s="1" t="s">
        <v>1774</v>
      </c>
      <c r="B2420" s="3">
        <v>43.0</v>
      </c>
      <c r="C2420" s="3">
        <v>60.0</v>
      </c>
      <c r="D2420" s="3">
        <v>0.0</v>
      </c>
      <c r="E2420" s="3">
        <v>0.0</v>
      </c>
      <c r="F2420" s="3">
        <v>0.0</v>
      </c>
      <c r="G2420" s="3">
        <v>0.0</v>
      </c>
      <c r="H2420" s="3">
        <v>0.0</v>
      </c>
      <c r="I2420" s="2" t="str">
        <f>IFERROR(__xludf.DUMMYFUNCTION("INDEX(SPLIT(A2420, ""/""), 0, 2)"),"regex")</f>
        <v>regex</v>
      </c>
      <c r="J2420" s="2" t="b">
        <f t="shared" si="1"/>
        <v>0</v>
      </c>
    </row>
    <row r="2421">
      <c r="A2421" s="1" t="s">
        <v>1775</v>
      </c>
      <c r="B2421" s="3">
        <v>16.0</v>
      </c>
      <c r="C2421" s="3">
        <v>60.0</v>
      </c>
      <c r="D2421" s="3">
        <v>0.0</v>
      </c>
      <c r="E2421" s="3">
        <v>0.0</v>
      </c>
      <c r="F2421" s="3">
        <v>0.0</v>
      </c>
      <c r="G2421" s="3">
        <v>0.0</v>
      </c>
      <c r="H2421" s="3">
        <v>0.0</v>
      </c>
      <c r="I2421" s="2" t="str">
        <f>IFERROR(__xludf.DUMMYFUNCTION("INDEX(SPLIT(A2421, ""/""), 0, 2)"),"regex")</f>
        <v>regex</v>
      </c>
      <c r="J2421" s="2" t="b">
        <f t="shared" si="1"/>
        <v>0</v>
      </c>
    </row>
    <row r="2422">
      <c r="A2422" s="1" t="s">
        <v>1776</v>
      </c>
      <c r="B2422" s="3">
        <v>21.0</v>
      </c>
      <c r="C2422" s="3">
        <v>60.0</v>
      </c>
      <c r="D2422" s="3">
        <v>0.0</v>
      </c>
      <c r="E2422" s="3">
        <v>0.0</v>
      </c>
      <c r="F2422" s="3">
        <v>0.0</v>
      </c>
      <c r="G2422" s="3">
        <v>0.0</v>
      </c>
      <c r="H2422" s="3">
        <v>0.0</v>
      </c>
      <c r="I2422" s="2" t="str">
        <f>IFERROR(__xludf.DUMMYFUNCTION("INDEX(SPLIT(A2422, ""/""), 0, 2)"),"regex")</f>
        <v>regex</v>
      </c>
      <c r="J2422" s="2" t="b">
        <f t="shared" si="1"/>
        <v>0</v>
      </c>
    </row>
    <row r="2423">
      <c r="A2423" s="1" t="s">
        <v>1777</v>
      </c>
      <c r="B2423" s="3">
        <v>5.0</v>
      </c>
      <c r="C2423" s="3">
        <v>60.0</v>
      </c>
      <c r="D2423" s="3">
        <v>0.0</v>
      </c>
      <c r="E2423" s="3">
        <v>0.0</v>
      </c>
      <c r="F2423" s="3">
        <v>0.0</v>
      </c>
      <c r="G2423" s="3">
        <v>0.0</v>
      </c>
      <c r="H2423" s="3">
        <v>0.0</v>
      </c>
      <c r="I2423" s="2" t="str">
        <f>IFERROR(__xludf.DUMMYFUNCTION("INDEX(SPLIT(A2423, ""/""), 0, 2)"),"regex")</f>
        <v>regex</v>
      </c>
      <c r="J2423" s="2" t="b">
        <f t="shared" si="1"/>
        <v>0</v>
      </c>
    </row>
    <row r="2424">
      <c r="A2424" s="1" t="s">
        <v>1778</v>
      </c>
      <c r="B2424" s="3">
        <v>189.0</v>
      </c>
      <c r="C2424" s="3">
        <v>60.0</v>
      </c>
      <c r="D2424" s="3">
        <v>0.0</v>
      </c>
      <c r="E2424" s="3">
        <v>0.0</v>
      </c>
      <c r="F2424" s="3">
        <v>0.0</v>
      </c>
      <c r="G2424" s="3">
        <v>0.0</v>
      </c>
      <c r="H2424" s="3">
        <v>0.0</v>
      </c>
      <c r="I2424" s="2" t="str">
        <f>IFERROR(__xludf.DUMMYFUNCTION("INDEX(SPLIT(A2424, ""/""), 0, 2)"),"regex")</f>
        <v>regex</v>
      </c>
      <c r="J2424" s="2" t="b">
        <f t="shared" si="1"/>
        <v>0</v>
      </c>
    </row>
    <row r="2425">
      <c r="A2425" s="1" t="s">
        <v>1779</v>
      </c>
      <c r="B2425" s="3">
        <v>75.0</v>
      </c>
      <c r="C2425" s="3">
        <v>60.0</v>
      </c>
      <c r="D2425" s="3">
        <v>0.0</v>
      </c>
      <c r="E2425" s="3">
        <v>0.0</v>
      </c>
      <c r="F2425" s="3">
        <v>0.0</v>
      </c>
      <c r="G2425" s="3">
        <v>0.0</v>
      </c>
      <c r="H2425" s="3">
        <v>0.0</v>
      </c>
      <c r="I2425" s="2" t="str">
        <f>IFERROR(__xludf.DUMMYFUNCTION("INDEX(SPLIT(A2425, ""/""), 0, 2)"),"regex")</f>
        <v>regex</v>
      </c>
      <c r="J2425" s="2" t="b">
        <f t="shared" si="1"/>
        <v>0</v>
      </c>
    </row>
    <row r="2426">
      <c r="A2426" s="1" t="s">
        <v>1780</v>
      </c>
      <c r="B2426" s="3">
        <v>43.0</v>
      </c>
      <c r="C2426" s="3">
        <v>60.0</v>
      </c>
      <c r="D2426" s="3">
        <v>0.0</v>
      </c>
      <c r="E2426" s="3">
        <v>0.0</v>
      </c>
      <c r="F2426" s="3">
        <v>0.0</v>
      </c>
      <c r="G2426" s="3">
        <v>0.0</v>
      </c>
      <c r="H2426" s="3">
        <v>0.0</v>
      </c>
      <c r="I2426" s="2" t="str">
        <f>IFERROR(__xludf.DUMMYFUNCTION("INDEX(SPLIT(A2426, ""/""), 0, 2)"),"regex")</f>
        <v>regex</v>
      </c>
      <c r="J2426" s="2" t="b">
        <f t="shared" si="1"/>
        <v>0</v>
      </c>
    </row>
    <row r="2427">
      <c r="A2427" s="1" t="s">
        <v>1781</v>
      </c>
      <c r="B2427" s="3">
        <v>38.0</v>
      </c>
      <c r="C2427" s="3">
        <v>60.0</v>
      </c>
      <c r="D2427" s="3">
        <v>0.0</v>
      </c>
      <c r="E2427" s="3">
        <v>0.0</v>
      </c>
      <c r="F2427" s="3">
        <v>0.0</v>
      </c>
      <c r="G2427" s="3">
        <v>0.0</v>
      </c>
      <c r="H2427" s="3">
        <v>0.0</v>
      </c>
      <c r="I2427" s="2" t="str">
        <f>IFERROR(__xludf.DUMMYFUNCTION("INDEX(SPLIT(A2427, ""/""), 0, 2)"),"regex")</f>
        <v>regex</v>
      </c>
      <c r="J2427" s="2" t="b">
        <f t="shared" si="1"/>
        <v>0</v>
      </c>
    </row>
    <row r="2428">
      <c r="A2428" s="1" t="s">
        <v>1782</v>
      </c>
      <c r="B2428" s="3">
        <v>42.0</v>
      </c>
      <c r="C2428" s="3">
        <v>60.0</v>
      </c>
      <c r="D2428" s="3">
        <v>0.0</v>
      </c>
      <c r="E2428" s="3">
        <v>0.0</v>
      </c>
      <c r="F2428" s="3">
        <v>0.0</v>
      </c>
      <c r="G2428" s="3">
        <v>0.0</v>
      </c>
      <c r="H2428" s="3">
        <v>0.0</v>
      </c>
      <c r="I2428" s="2" t="str">
        <f>IFERROR(__xludf.DUMMYFUNCTION("INDEX(SPLIT(A2428, ""/""), 0, 2)"),"regex")</f>
        <v>regex</v>
      </c>
      <c r="J2428" s="2" t="b">
        <f t="shared" si="1"/>
        <v>0</v>
      </c>
    </row>
    <row r="2429">
      <c r="A2429" s="1" t="s">
        <v>1783</v>
      </c>
      <c r="B2429" s="3">
        <v>44.0</v>
      </c>
      <c r="C2429" s="3">
        <v>60.0</v>
      </c>
      <c r="D2429" s="3">
        <v>0.0</v>
      </c>
      <c r="E2429" s="3">
        <v>0.0</v>
      </c>
      <c r="F2429" s="3">
        <v>0.0</v>
      </c>
      <c r="G2429" s="3">
        <v>0.0</v>
      </c>
      <c r="H2429" s="3">
        <v>0.0</v>
      </c>
      <c r="I2429" s="2" t="str">
        <f>IFERROR(__xludf.DUMMYFUNCTION("INDEX(SPLIT(A2429, ""/""), 0, 2)"),"regex")</f>
        <v>regex</v>
      </c>
      <c r="J2429" s="2" t="b">
        <f t="shared" si="1"/>
        <v>0</v>
      </c>
    </row>
    <row r="2430">
      <c r="A2430" s="1" t="s">
        <v>1784</v>
      </c>
      <c r="B2430" s="3">
        <v>95.0</v>
      </c>
      <c r="C2430" s="3">
        <v>60.0</v>
      </c>
      <c r="D2430" s="3">
        <v>0.0</v>
      </c>
      <c r="E2430" s="3">
        <v>0.0</v>
      </c>
      <c r="F2430" s="3">
        <v>0.0</v>
      </c>
      <c r="G2430" s="3">
        <v>0.0</v>
      </c>
      <c r="H2430" s="3">
        <v>0.0</v>
      </c>
      <c r="I2430" s="2" t="str">
        <f>IFERROR(__xludf.DUMMYFUNCTION("INDEX(SPLIT(A2430, ""/""), 0, 2)"),"regex")</f>
        <v>regex</v>
      </c>
      <c r="J2430" s="2" t="b">
        <f t="shared" si="1"/>
        <v>0</v>
      </c>
    </row>
    <row r="2431">
      <c r="A2431" s="1" t="s">
        <v>1785</v>
      </c>
      <c r="B2431" s="3">
        <v>12.0</v>
      </c>
      <c r="C2431" s="3">
        <v>60.0</v>
      </c>
      <c r="D2431" s="3">
        <v>0.0</v>
      </c>
      <c r="E2431" s="3">
        <v>0.0</v>
      </c>
      <c r="F2431" s="3">
        <v>0.0</v>
      </c>
      <c r="G2431" s="3">
        <v>0.0</v>
      </c>
      <c r="H2431" s="3">
        <v>0.0</v>
      </c>
      <c r="I2431" s="2" t="str">
        <f>IFERROR(__xludf.DUMMYFUNCTION("INDEX(SPLIT(A2431, ""/""), 0, 2)"),"regex")</f>
        <v>regex</v>
      </c>
      <c r="J2431" s="2" t="b">
        <f t="shared" si="1"/>
        <v>0</v>
      </c>
    </row>
    <row r="2432">
      <c r="A2432" s="1" t="s">
        <v>1786</v>
      </c>
      <c r="B2432" s="3">
        <v>32.0</v>
      </c>
      <c r="C2432" s="3">
        <v>60.0</v>
      </c>
      <c r="D2432" s="3">
        <v>0.0</v>
      </c>
      <c r="E2432" s="3">
        <v>0.0</v>
      </c>
      <c r="F2432" s="3">
        <v>0.0</v>
      </c>
      <c r="G2432" s="3">
        <v>0.0</v>
      </c>
      <c r="H2432" s="3">
        <v>0.0</v>
      </c>
      <c r="I2432" s="2" t="str">
        <f>IFERROR(__xludf.DUMMYFUNCTION("INDEX(SPLIT(A2432, ""/""), 0, 2)"),"regex")</f>
        <v>regex</v>
      </c>
      <c r="J2432" s="2" t="b">
        <f t="shared" si="1"/>
        <v>0</v>
      </c>
    </row>
    <row r="2433">
      <c r="A2433" s="1" t="s">
        <v>1787</v>
      </c>
      <c r="B2433" s="3">
        <v>14.0</v>
      </c>
      <c r="C2433" s="3">
        <v>60.0</v>
      </c>
      <c r="D2433" s="3">
        <v>0.0</v>
      </c>
      <c r="E2433" s="3">
        <v>0.0</v>
      </c>
      <c r="F2433" s="3">
        <v>0.0</v>
      </c>
      <c r="G2433" s="3">
        <v>0.0</v>
      </c>
      <c r="H2433" s="3">
        <v>0.0</v>
      </c>
      <c r="I2433" s="2" t="str">
        <f>IFERROR(__xludf.DUMMYFUNCTION("INDEX(SPLIT(A2433, ""/""), 0, 2)"),"regex")</f>
        <v>regex</v>
      </c>
      <c r="J2433" s="2" t="b">
        <f t="shared" si="1"/>
        <v>0</v>
      </c>
    </row>
    <row r="2434">
      <c r="A2434" s="1" t="s">
        <v>1788</v>
      </c>
      <c r="B2434" s="3">
        <v>50.0</v>
      </c>
      <c r="C2434" s="3">
        <v>60.0</v>
      </c>
      <c r="D2434" s="3">
        <v>0.0</v>
      </c>
      <c r="E2434" s="3">
        <v>0.0</v>
      </c>
      <c r="F2434" s="3">
        <v>0.0</v>
      </c>
      <c r="G2434" s="3">
        <v>0.0</v>
      </c>
      <c r="H2434" s="3">
        <v>0.0</v>
      </c>
      <c r="I2434" s="2" t="str">
        <f>IFERROR(__xludf.DUMMYFUNCTION("INDEX(SPLIT(A2434, ""/""), 0, 2)"),"regex")</f>
        <v>regex</v>
      </c>
      <c r="J2434" s="2" t="b">
        <f t="shared" si="1"/>
        <v>0</v>
      </c>
    </row>
    <row r="2435">
      <c r="A2435" s="1" t="s">
        <v>1789</v>
      </c>
      <c r="B2435" s="3">
        <v>38.0</v>
      </c>
      <c r="C2435" s="3">
        <v>60.0</v>
      </c>
      <c r="D2435" s="3">
        <v>0.0</v>
      </c>
      <c r="E2435" s="3">
        <v>0.0</v>
      </c>
      <c r="F2435" s="3">
        <v>0.0</v>
      </c>
      <c r="G2435" s="3">
        <v>0.0</v>
      </c>
      <c r="H2435" s="3">
        <v>0.0</v>
      </c>
      <c r="I2435" s="2" t="str">
        <f>IFERROR(__xludf.DUMMYFUNCTION("INDEX(SPLIT(A2435, ""/""), 0, 2)"),"regex")</f>
        <v>regex</v>
      </c>
      <c r="J2435" s="2" t="b">
        <f t="shared" si="1"/>
        <v>0</v>
      </c>
    </row>
    <row r="2436">
      <c r="A2436" s="1" t="s">
        <v>1790</v>
      </c>
      <c r="B2436" s="3">
        <v>6.0</v>
      </c>
      <c r="C2436" s="3">
        <v>60.0</v>
      </c>
      <c r="D2436" s="3">
        <v>0.0</v>
      </c>
      <c r="E2436" s="3">
        <v>0.0</v>
      </c>
      <c r="F2436" s="3">
        <v>0.0</v>
      </c>
      <c r="G2436" s="3">
        <v>0.0</v>
      </c>
      <c r="H2436" s="3">
        <v>0.0</v>
      </c>
      <c r="I2436" s="2" t="str">
        <f>IFERROR(__xludf.DUMMYFUNCTION("INDEX(SPLIT(A2436, ""/""), 0, 2)"),"regex")</f>
        <v>regex</v>
      </c>
      <c r="J2436" s="2" t="b">
        <f t="shared" si="1"/>
        <v>0</v>
      </c>
    </row>
    <row r="2437">
      <c r="A2437" s="1" t="s">
        <v>1791</v>
      </c>
      <c r="B2437" s="3">
        <v>6.0</v>
      </c>
      <c r="C2437" s="3">
        <v>60.0</v>
      </c>
      <c r="D2437" s="3">
        <v>0.0</v>
      </c>
      <c r="E2437" s="3">
        <v>0.0</v>
      </c>
      <c r="F2437" s="3">
        <v>0.0</v>
      </c>
      <c r="G2437" s="3">
        <v>0.0</v>
      </c>
      <c r="H2437" s="3">
        <v>0.0</v>
      </c>
      <c r="I2437" s="2" t="str">
        <f>IFERROR(__xludf.DUMMYFUNCTION("INDEX(SPLIT(A2437, ""/""), 0, 2)"),"regex")</f>
        <v>regex</v>
      </c>
      <c r="J2437" s="2" t="b">
        <f t="shared" si="1"/>
        <v>0</v>
      </c>
    </row>
    <row r="2438">
      <c r="A2438" s="1" t="s">
        <v>1792</v>
      </c>
      <c r="B2438" s="3">
        <v>11.0</v>
      </c>
      <c r="C2438" s="3">
        <v>60.0</v>
      </c>
      <c r="D2438" s="3">
        <v>0.0</v>
      </c>
      <c r="E2438" s="3">
        <v>0.0</v>
      </c>
      <c r="F2438" s="3">
        <v>0.0</v>
      </c>
      <c r="G2438" s="3">
        <v>0.0</v>
      </c>
      <c r="H2438" s="3">
        <v>0.0</v>
      </c>
      <c r="I2438" s="2" t="str">
        <f>IFERROR(__xludf.DUMMYFUNCTION("INDEX(SPLIT(A2438, ""/""), 0, 2)"),"regex")</f>
        <v>regex</v>
      </c>
      <c r="J2438" s="2" t="b">
        <f t="shared" si="1"/>
        <v>0</v>
      </c>
    </row>
    <row r="2439">
      <c r="A2439" s="1" t="s">
        <v>1793</v>
      </c>
      <c r="B2439" s="3">
        <v>26.0</v>
      </c>
      <c r="C2439" s="3">
        <v>60.0</v>
      </c>
      <c r="D2439" s="3">
        <v>0.0</v>
      </c>
      <c r="E2439" s="3">
        <v>0.0</v>
      </c>
      <c r="F2439" s="3">
        <v>0.0</v>
      </c>
      <c r="G2439" s="3">
        <v>0.0</v>
      </c>
      <c r="H2439" s="3">
        <v>0.0</v>
      </c>
      <c r="I2439" s="2" t="str">
        <f>IFERROR(__xludf.DUMMYFUNCTION("INDEX(SPLIT(A2439, ""/""), 0, 2)"),"regex")</f>
        <v>regex</v>
      </c>
      <c r="J2439" s="2" t="b">
        <f t="shared" si="1"/>
        <v>0</v>
      </c>
    </row>
    <row r="2440">
      <c r="A2440" s="1" t="s">
        <v>1794</v>
      </c>
      <c r="B2440" s="3">
        <v>42.0</v>
      </c>
      <c r="C2440" s="3">
        <v>60.0</v>
      </c>
      <c r="D2440" s="3">
        <v>0.0</v>
      </c>
      <c r="E2440" s="3">
        <v>0.0</v>
      </c>
      <c r="F2440" s="3">
        <v>0.0</v>
      </c>
      <c r="G2440" s="3">
        <v>0.0</v>
      </c>
      <c r="H2440" s="3">
        <v>0.0</v>
      </c>
      <c r="I2440" s="2" t="str">
        <f>IFERROR(__xludf.DUMMYFUNCTION("INDEX(SPLIT(A2440, ""/""), 0, 2)"),"regex")</f>
        <v>regex</v>
      </c>
      <c r="J2440" s="2" t="b">
        <f t="shared" si="1"/>
        <v>0</v>
      </c>
    </row>
    <row r="2441">
      <c r="A2441" s="1" t="s">
        <v>1795</v>
      </c>
      <c r="B2441" s="3">
        <v>20.0</v>
      </c>
      <c r="C2441" s="3">
        <v>60.0</v>
      </c>
      <c r="D2441" s="3">
        <v>0.0</v>
      </c>
      <c r="E2441" s="3">
        <v>0.0</v>
      </c>
      <c r="F2441" s="3">
        <v>0.0</v>
      </c>
      <c r="G2441" s="3">
        <v>0.0</v>
      </c>
      <c r="H2441" s="3">
        <v>0.0</v>
      </c>
      <c r="I2441" s="2" t="str">
        <f>IFERROR(__xludf.DUMMYFUNCTION("INDEX(SPLIT(A2441, ""/""), 0, 2)"),"regex")</f>
        <v>regex</v>
      </c>
      <c r="J2441" s="2" t="b">
        <f t="shared" si="1"/>
        <v>0</v>
      </c>
    </row>
    <row r="2442">
      <c r="A2442" s="1" t="s">
        <v>1796</v>
      </c>
      <c r="B2442" s="3">
        <v>30.0</v>
      </c>
      <c r="C2442" s="3">
        <v>60.0</v>
      </c>
      <c r="D2442" s="3">
        <v>0.0</v>
      </c>
      <c r="E2442" s="3">
        <v>0.0</v>
      </c>
      <c r="F2442" s="3">
        <v>0.0</v>
      </c>
      <c r="G2442" s="3">
        <v>0.0</v>
      </c>
      <c r="H2442" s="3">
        <v>0.0</v>
      </c>
      <c r="I2442" s="2" t="str">
        <f>IFERROR(__xludf.DUMMYFUNCTION("INDEX(SPLIT(A2442, ""/""), 0, 2)"),"regex")</f>
        <v>regex</v>
      </c>
      <c r="J2442" s="2" t="b">
        <f t="shared" si="1"/>
        <v>0</v>
      </c>
    </row>
    <row r="2443">
      <c r="A2443" s="1" t="s">
        <v>1797</v>
      </c>
      <c r="B2443" s="3">
        <v>49.0</v>
      </c>
      <c r="C2443" s="3">
        <v>60.0</v>
      </c>
      <c r="D2443" s="3">
        <v>0.0</v>
      </c>
      <c r="E2443" s="3">
        <v>0.0</v>
      </c>
      <c r="F2443" s="3">
        <v>0.0</v>
      </c>
      <c r="G2443" s="3">
        <v>0.0</v>
      </c>
      <c r="H2443" s="3">
        <v>0.0</v>
      </c>
      <c r="I2443" s="2" t="str">
        <f>IFERROR(__xludf.DUMMYFUNCTION("INDEX(SPLIT(A2443, ""/""), 0, 2)"),"regex")</f>
        <v>regex</v>
      </c>
      <c r="J2443" s="2" t="b">
        <f t="shared" si="1"/>
        <v>0</v>
      </c>
    </row>
    <row r="2444">
      <c r="A2444" s="1" t="s">
        <v>1798</v>
      </c>
      <c r="B2444" s="3">
        <v>40.0</v>
      </c>
      <c r="C2444" s="3">
        <v>60.0</v>
      </c>
      <c r="D2444" s="3">
        <v>0.0</v>
      </c>
      <c r="E2444" s="3">
        <v>0.0</v>
      </c>
      <c r="F2444" s="3">
        <v>0.0</v>
      </c>
      <c r="G2444" s="3">
        <v>0.0</v>
      </c>
      <c r="H2444" s="3">
        <v>0.0</v>
      </c>
      <c r="I2444" s="2" t="str">
        <f>IFERROR(__xludf.DUMMYFUNCTION("INDEX(SPLIT(A2444, ""/""), 0, 2)"),"regex")</f>
        <v>regex</v>
      </c>
      <c r="J2444" s="2" t="b">
        <f t="shared" si="1"/>
        <v>0</v>
      </c>
    </row>
    <row r="2445">
      <c r="A2445" s="1" t="s">
        <v>1799</v>
      </c>
      <c r="B2445" s="3">
        <v>39.0</v>
      </c>
      <c r="C2445" s="3">
        <v>60.0</v>
      </c>
      <c r="D2445" s="3">
        <v>0.0</v>
      </c>
      <c r="E2445" s="3">
        <v>0.0</v>
      </c>
      <c r="F2445" s="3">
        <v>0.0</v>
      </c>
      <c r="G2445" s="3">
        <v>0.0</v>
      </c>
      <c r="H2445" s="3">
        <v>0.0</v>
      </c>
      <c r="I2445" s="2" t="str">
        <f>IFERROR(__xludf.DUMMYFUNCTION("INDEX(SPLIT(A2445, ""/""), 0, 2)"),"regex")</f>
        <v>regex</v>
      </c>
      <c r="J2445" s="2" t="b">
        <f t="shared" si="1"/>
        <v>0</v>
      </c>
    </row>
    <row r="2446">
      <c r="A2446" s="1" t="s">
        <v>1800</v>
      </c>
      <c r="B2446" s="3">
        <v>22.0</v>
      </c>
      <c r="C2446" s="3">
        <v>60.0</v>
      </c>
      <c r="D2446" s="3">
        <v>0.0</v>
      </c>
      <c r="E2446" s="3">
        <v>0.0</v>
      </c>
      <c r="F2446" s="3">
        <v>0.0</v>
      </c>
      <c r="G2446" s="3">
        <v>0.0</v>
      </c>
      <c r="H2446" s="3">
        <v>0.0</v>
      </c>
      <c r="I2446" s="2" t="str">
        <f>IFERROR(__xludf.DUMMYFUNCTION("INDEX(SPLIT(A2446, ""/""), 0, 2)"),"regex")</f>
        <v>regex</v>
      </c>
      <c r="J2446" s="2" t="b">
        <f t="shared" si="1"/>
        <v>0</v>
      </c>
    </row>
    <row r="2447">
      <c r="A2447" s="1" t="s">
        <v>1801</v>
      </c>
      <c r="B2447" s="3">
        <v>34.0</v>
      </c>
      <c r="C2447" s="3">
        <v>60.0</v>
      </c>
      <c r="D2447" s="3">
        <v>0.0</v>
      </c>
      <c r="E2447" s="3">
        <v>0.0</v>
      </c>
      <c r="F2447" s="3">
        <v>0.0</v>
      </c>
      <c r="G2447" s="3">
        <v>0.0</v>
      </c>
      <c r="H2447" s="3">
        <v>0.0</v>
      </c>
      <c r="I2447" s="2" t="str">
        <f>IFERROR(__xludf.DUMMYFUNCTION("INDEX(SPLIT(A2447, ""/""), 0, 2)"),"regex")</f>
        <v>regex</v>
      </c>
      <c r="J2447" s="2" t="b">
        <f t="shared" si="1"/>
        <v>0</v>
      </c>
    </row>
    <row r="2448">
      <c r="A2448" s="1" t="s">
        <v>1802</v>
      </c>
      <c r="B2448" s="3">
        <v>28.0</v>
      </c>
      <c r="C2448" s="3">
        <v>60.0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2" t="str">
        <f>IFERROR(__xludf.DUMMYFUNCTION("INDEX(SPLIT(A2448, ""/""), 0, 2)"),"regex")</f>
        <v>regex</v>
      </c>
      <c r="J2448" s="2" t="b">
        <f t="shared" si="1"/>
        <v>0</v>
      </c>
    </row>
    <row r="2449">
      <c r="A2449" s="1" t="s">
        <v>1803</v>
      </c>
      <c r="B2449" s="3">
        <v>88.0</v>
      </c>
      <c r="C2449" s="3">
        <v>60.0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2" t="str">
        <f>IFERROR(__xludf.DUMMYFUNCTION("INDEX(SPLIT(A2449, ""/""), 0, 2)"),"regex")</f>
        <v>regex</v>
      </c>
      <c r="J2449" s="2" t="b">
        <f t="shared" si="1"/>
        <v>0</v>
      </c>
    </row>
    <row r="2450">
      <c r="A2450" s="1" t="s">
        <v>1804</v>
      </c>
      <c r="B2450" s="3">
        <v>26.0</v>
      </c>
      <c r="C2450" s="3">
        <v>60.0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2" t="str">
        <f>IFERROR(__xludf.DUMMYFUNCTION("INDEX(SPLIT(A2450, ""/""), 0, 2)"),"regex")</f>
        <v>regex</v>
      </c>
      <c r="J2450" s="2" t="b">
        <f t="shared" si="1"/>
        <v>0</v>
      </c>
    </row>
    <row r="2451">
      <c r="A2451" s="1" t="s">
        <v>1805</v>
      </c>
      <c r="B2451" s="3">
        <v>133.0</v>
      </c>
      <c r="C2451" s="3">
        <v>60.0</v>
      </c>
      <c r="D2451" s="3">
        <v>0.0</v>
      </c>
      <c r="E2451" s="3">
        <v>0.0</v>
      </c>
      <c r="F2451" s="3">
        <v>0.0</v>
      </c>
      <c r="G2451" s="3">
        <v>0.0</v>
      </c>
      <c r="H2451" s="3">
        <v>0.0</v>
      </c>
      <c r="I2451" s="2" t="str">
        <f>IFERROR(__xludf.DUMMYFUNCTION("INDEX(SPLIT(A2451, ""/""), 0, 2)"),"regex")</f>
        <v>regex</v>
      </c>
      <c r="J2451" s="2" t="b">
        <f t="shared" si="1"/>
        <v>0</v>
      </c>
    </row>
    <row r="2452">
      <c r="A2452" s="1" t="s">
        <v>1806</v>
      </c>
      <c r="B2452" s="3">
        <v>30.0</v>
      </c>
      <c r="C2452" s="3">
        <v>60.0</v>
      </c>
      <c r="D2452" s="3">
        <v>0.0</v>
      </c>
      <c r="E2452" s="3">
        <v>0.0</v>
      </c>
      <c r="F2452" s="3">
        <v>0.0</v>
      </c>
      <c r="G2452" s="3">
        <v>0.0</v>
      </c>
      <c r="H2452" s="3">
        <v>0.0</v>
      </c>
      <c r="I2452" s="2" t="str">
        <f>IFERROR(__xludf.DUMMYFUNCTION("INDEX(SPLIT(A2452, ""/""), 0, 2)"),"regex")</f>
        <v>regex</v>
      </c>
      <c r="J2452" s="2" t="b">
        <f t="shared" si="1"/>
        <v>0</v>
      </c>
    </row>
    <row r="2453">
      <c r="A2453" s="1" t="s">
        <v>1807</v>
      </c>
      <c r="B2453" s="3">
        <v>269.0</v>
      </c>
      <c r="C2453" s="3">
        <v>60.0</v>
      </c>
      <c r="D2453" s="3">
        <v>0.0</v>
      </c>
      <c r="E2453" s="3">
        <v>0.0</v>
      </c>
      <c r="F2453" s="3">
        <v>0.0</v>
      </c>
      <c r="G2453" s="3">
        <v>0.0</v>
      </c>
      <c r="H2453" s="3">
        <v>0.0</v>
      </c>
      <c r="I2453" s="2" t="str">
        <f>IFERROR(__xludf.DUMMYFUNCTION("INDEX(SPLIT(A2453, ""/""), 0, 2)"),"regex")</f>
        <v>regex</v>
      </c>
      <c r="J2453" s="2" t="b">
        <f t="shared" si="1"/>
        <v>0</v>
      </c>
    </row>
    <row r="2454">
      <c r="A2454" s="1" t="s">
        <v>1808</v>
      </c>
      <c r="B2454" s="3">
        <v>145.0</v>
      </c>
      <c r="C2454" s="3">
        <v>60.0</v>
      </c>
      <c r="D2454" s="3">
        <v>0.0</v>
      </c>
      <c r="E2454" s="3">
        <v>0.0</v>
      </c>
      <c r="F2454" s="3">
        <v>0.0</v>
      </c>
      <c r="G2454" s="3">
        <v>0.0</v>
      </c>
      <c r="H2454" s="3">
        <v>0.0</v>
      </c>
      <c r="I2454" s="2" t="str">
        <f>IFERROR(__xludf.DUMMYFUNCTION("INDEX(SPLIT(A2454, ""/""), 0, 2)"),"regex")</f>
        <v>regex</v>
      </c>
      <c r="J2454" s="2" t="b">
        <f t="shared" si="1"/>
        <v>0</v>
      </c>
    </row>
    <row r="2455">
      <c r="A2455" s="1" t="s">
        <v>1809</v>
      </c>
      <c r="B2455" s="3">
        <v>3.0</v>
      </c>
      <c r="C2455" s="3">
        <v>60.0</v>
      </c>
      <c r="D2455" s="3">
        <v>0.0</v>
      </c>
      <c r="E2455" s="3">
        <v>0.0</v>
      </c>
      <c r="F2455" s="3">
        <v>0.0</v>
      </c>
      <c r="G2455" s="3">
        <v>0.0</v>
      </c>
      <c r="H2455" s="3">
        <v>0.0</v>
      </c>
      <c r="I2455" s="2" t="str">
        <f>IFERROR(__xludf.DUMMYFUNCTION("INDEX(SPLIT(A2455, ""/""), 0, 2)"),"regex")</f>
        <v>regex</v>
      </c>
      <c r="J2455" s="2" t="b">
        <f t="shared" si="1"/>
        <v>0</v>
      </c>
    </row>
    <row r="2456">
      <c r="A2456" s="1" t="s">
        <v>1810</v>
      </c>
      <c r="B2456" s="3">
        <v>5.0</v>
      </c>
      <c r="C2456" s="3">
        <v>60.0</v>
      </c>
      <c r="D2456" s="3">
        <v>0.0</v>
      </c>
      <c r="E2456" s="3">
        <v>0.0</v>
      </c>
      <c r="F2456" s="3">
        <v>0.0</v>
      </c>
      <c r="G2456" s="3">
        <v>0.0</v>
      </c>
      <c r="H2456" s="3">
        <v>0.0</v>
      </c>
      <c r="I2456" s="2" t="str">
        <f>IFERROR(__xludf.DUMMYFUNCTION("INDEX(SPLIT(A2456, ""/""), 0, 2)"),"regex")</f>
        <v>regex</v>
      </c>
      <c r="J2456" s="2" t="b">
        <f t="shared" si="1"/>
        <v>0</v>
      </c>
    </row>
    <row r="2457">
      <c r="A2457" s="1" t="s">
        <v>1811</v>
      </c>
      <c r="B2457" s="3">
        <v>17.0</v>
      </c>
      <c r="C2457" s="3">
        <v>60.0</v>
      </c>
      <c r="D2457" s="3">
        <v>0.0</v>
      </c>
      <c r="E2457" s="3">
        <v>0.0</v>
      </c>
      <c r="F2457" s="3">
        <v>0.0</v>
      </c>
      <c r="G2457" s="3">
        <v>0.0</v>
      </c>
      <c r="H2457" s="3">
        <v>0.0</v>
      </c>
      <c r="I2457" s="2" t="str">
        <f>IFERROR(__xludf.DUMMYFUNCTION("INDEX(SPLIT(A2457, ""/""), 0, 2)"),"regex")</f>
        <v>regex</v>
      </c>
      <c r="J2457" s="2" t="b">
        <f t="shared" si="1"/>
        <v>0</v>
      </c>
    </row>
    <row r="2458">
      <c r="A2458" s="1" t="s">
        <v>1812</v>
      </c>
      <c r="B2458" s="3">
        <v>27.0</v>
      </c>
      <c r="C2458" s="3">
        <v>60.0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2" t="str">
        <f>IFERROR(__xludf.DUMMYFUNCTION("INDEX(SPLIT(A2458, ""/""), 0, 2)"),"regex")</f>
        <v>regex</v>
      </c>
      <c r="J2458" s="2" t="b">
        <f t="shared" si="1"/>
        <v>0</v>
      </c>
    </row>
    <row r="2459">
      <c r="A2459" s="1" t="s">
        <v>1813</v>
      </c>
      <c r="B2459" s="3">
        <v>30.0</v>
      </c>
      <c r="C2459" s="3">
        <v>60.0</v>
      </c>
      <c r="D2459" s="3">
        <v>0.0</v>
      </c>
      <c r="E2459" s="3">
        <v>0.0</v>
      </c>
      <c r="F2459" s="3">
        <v>0.0</v>
      </c>
      <c r="G2459" s="3">
        <v>0.0</v>
      </c>
      <c r="H2459" s="3">
        <v>0.0</v>
      </c>
      <c r="I2459" s="2" t="str">
        <f>IFERROR(__xludf.DUMMYFUNCTION("INDEX(SPLIT(A2459, ""/""), 0, 2)"),"regex")</f>
        <v>regex</v>
      </c>
      <c r="J2459" s="2" t="b">
        <f t="shared" si="1"/>
        <v>0</v>
      </c>
    </row>
    <row r="2460">
      <c r="A2460" s="1" t="s">
        <v>1814</v>
      </c>
      <c r="B2460" s="3">
        <v>29.0</v>
      </c>
      <c r="C2460" s="3">
        <v>60.0</v>
      </c>
      <c r="D2460" s="3">
        <v>0.0</v>
      </c>
      <c r="E2460" s="3">
        <v>0.0</v>
      </c>
      <c r="F2460" s="3">
        <v>0.0</v>
      </c>
      <c r="G2460" s="3">
        <v>0.0</v>
      </c>
      <c r="H2460" s="3">
        <v>0.0</v>
      </c>
      <c r="I2460" s="2" t="str">
        <f>IFERROR(__xludf.DUMMYFUNCTION("INDEX(SPLIT(A2460, ""/""), 0, 2)"),"regex")</f>
        <v>regex</v>
      </c>
      <c r="J2460" s="2" t="b">
        <f t="shared" si="1"/>
        <v>0</v>
      </c>
    </row>
    <row r="2461">
      <c r="A2461" s="1" t="s">
        <v>1815</v>
      </c>
      <c r="B2461" s="3">
        <v>36.0</v>
      </c>
      <c r="C2461" s="3">
        <v>60.0</v>
      </c>
      <c r="D2461" s="3">
        <v>0.0</v>
      </c>
      <c r="E2461" s="3">
        <v>0.0</v>
      </c>
      <c r="F2461" s="3">
        <v>0.0</v>
      </c>
      <c r="G2461" s="3">
        <v>0.0</v>
      </c>
      <c r="H2461" s="3">
        <v>0.0</v>
      </c>
      <c r="I2461" s="2" t="str">
        <f>IFERROR(__xludf.DUMMYFUNCTION("INDEX(SPLIT(A2461, ""/""), 0, 2)"),"regex")</f>
        <v>regex</v>
      </c>
      <c r="J2461" s="2" t="b">
        <f t="shared" si="1"/>
        <v>0</v>
      </c>
    </row>
    <row r="2462">
      <c r="A2462" s="1" t="s">
        <v>1816</v>
      </c>
      <c r="B2462" s="3">
        <v>47.0</v>
      </c>
      <c r="C2462" s="3">
        <v>60.0</v>
      </c>
      <c r="D2462" s="3">
        <v>0.0</v>
      </c>
      <c r="E2462" s="3">
        <v>0.0</v>
      </c>
      <c r="F2462" s="3">
        <v>0.0</v>
      </c>
      <c r="G2462" s="3">
        <v>0.0</v>
      </c>
      <c r="H2462" s="3">
        <v>0.0</v>
      </c>
      <c r="I2462" s="2" t="str">
        <f>IFERROR(__xludf.DUMMYFUNCTION("INDEX(SPLIT(A2462, ""/""), 0, 2)"),"regex")</f>
        <v>regex</v>
      </c>
      <c r="J2462" s="2" t="b">
        <f t="shared" si="1"/>
        <v>0</v>
      </c>
    </row>
    <row r="2463">
      <c r="A2463" s="1" t="s">
        <v>1817</v>
      </c>
      <c r="B2463" s="3">
        <v>151.0</v>
      </c>
      <c r="C2463" s="3">
        <v>60.0</v>
      </c>
      <c r="D2463" s="3">
        <v>0.0</v>
      </c>
      <c r="E2463" s="3">
        <v>0.0</v>
      </c>
      <c r="F2463" s="3">
        <v>0.0</v>
      </c>
      <c r="G2463" s="3">
        <v>0.0</v>
      </c>
      <c r="H2463" s="3">
        <v>0.0</v>
      </c>
      <c r="I2463" s="2" t="str">
        <f>IFERROR(__xludf.DUMMYFUNCTION("INDEX(SPLIT(A2463, ""/""), 0, 2)"),"regex")</f>
        <v>regex</v>
      </c>
      <c r="J2463" s="2" t="b">
        <f t="shared" si="1"/>
        <v>0</v>
      </c>
    </row>
    <row r="2464">
      <c r="A2464" s="1" t="s">
        <v>1818</v>
      </c>
      <c r="B2464" s="3">
        <v>50.0</v>
      </c>
      <c r="C2464" s="3">
        <v>60.0</v>
      </c>
      <c r="D2464" s="3">
        <v>0.0</v>
      </c>
      <c r="E2464" s="3">
        <v>0.0</v>
      </c>
      <c r="F2464" s="3">
        <v>0.0</v>
      </c>
      <c r="G2464" s="3">
        <v>0.0</v>
      </c>
      <c r="H2464" s="3">
        <v>0.0</v>
      </c>
      <c r="I2464" s="2" t="str">
        <f>IFERROR(__xludf.DUMMYFUNCTION("INDEX(SPLIT(A2464, ""/""), 0, 2)"),"regex")</f>
        <v>regex</v>
      </c>
      <c r="J2464" s="2" t="b">
        <f t="shared" si="1"/>
        <v>0</v>
      </c>
    </row>
    <row r="2465">
      <c r="A2465" s="1" t="s">
        <v>1819</v>
      </c>
      <c r="B2465" s="3">
        <v>39.0</v>
      </c>
      <c r="C2465" s="3">
        <v>60.0</v>
      </c>
      <c r="D2465" s="3">
        <v>0.0</v>
      </c>
      <c r="E2465" s="3">
        <v>0.0</v>
      </c>
      <c r="F2465" s="3">
        <v>0.0</v>
      </c>
      <c r="G2465" s="3">
        <v>0.0</v>
      </c>
      <c r="H2465" s="3">
        <v>0.0</v>
      </c>
      <c r="I2465" s="2" t="str">
        <f>IFERROR(__xludf.DUMMYFUNCTION("INDEX(SPLIT(A2465, ""/""), 0, 2)"),"regex")</f>
        <v>regex</v>
      </c>
      <c r="J2465" s="2" t="b">
        <f t="shared" si="1"/>
        <v>0</v>
      </c>
    </row>
    <row r="2466">
      <c r="A2466" s="1" t="s">
        <v>1820</v>
      </c>
      <c r="B2466" s="3">
        <v>18.0</v>
      </c>
      <c r="C2466" s="3">
        <v>60.0</v>
      </c>
      <c r="D2466" s="3">
        <v>0.0</v>
      </c>
      <c r="E2466" s="3">
        <v>0.0</v>
      </c>
      <c r="F2466" s="3">
        <v>0.0</v>
      </c>
      <c r="G2466" s="3">
        <v>0.0</v>
      </c>
      <c r="H2466" s="3">
        <v>0.0</v>
      </c>
      <c r="I2466" s="2" t="str">
        <f>IFERROR(__xludf.DUMMYFUNCTION("INDEX(SPLIT(A2466, ""/""), 0, 2)"),"regex")</f>
        <v>regex</v>
      </c>
      <c r="J2466" s="2" t="b">
        <f t="shared" si="1"/>
        <v>0</v>
      </c>
    </row>
    <row r="2467">
      <c r="A2467" s="1" t="s">
        <v>1821</v>
      </c>
      <c r="B2467" s="3">
        <v>15.0</v>
      </c>
      <c r="C2467" s="3">
        <v>60.0</v>
      </c>
      <c r="D2467" s="3">
        <v>0.0</v>
      </c>
      <c r="E2467" s="3">
        <v>0.0</v>
      </c>
      <c r="F2467" s="3">
        <v>0.0</v>
      </c>
      <c r="G2467" s="3">
        <v>0.0</v>
      </c>
      <c r="H2467" s="3">
        <v>0.0</v>
      </c>
      <c r="I2467" s="2" t="str">
        <f>IFERROR(__xludf.DUMMYFUNCTION("INDEX(SPLIT(A2467, ""/""), 0, 2)"),"regex")</f>
        <v>regex</v>
      </c>
      <c r="J2467" s="2" t="b">
        <f t="shared" si="1"/>
        <v>0</v>
      </c>
    </row>
    <row r="2468">
      <c r="A2468" s="1" t="s">
        <v>1822</v>
      </c>
      <c r="B2468" s="3">
        <v>21.0</v>
      </c>
      <c r="C2468" s="3">
        <v>60.0</v>
      </c>
      <c r="D2468" s="3">
        <v>0.0</v>
      </c>
      <c r="E2468" s="3">
        <v>0.0</v>
      </c>
      <c r="F2468" s="3">
        <v>0.0</v>
      </c>
      <c r="G2468" s="3">
        <v>0.0</v>
      </c>
      <c r="H2468" s="3">
        <v>0.0</v>
      </c>
      <c r="I2468" s="2" t="str">
        <f>IFERROR(__xludf.DUMMYFUNCTION("INDEX(SPLIT(A2468, ""/""), 0, 2)"),"regex")</f>
        <v>regex</v>
      </c>
      <c r="J2468" s="2" t="b">
        <f t="shared" si="1"/>
        <v>0</v>
      </c>
    </row>
    <row r="2469">
      <c r="A2469" s="1" t="s">
        <v>1823</v>
      </c>
      <c r="B2469" s="3">
        <v>79.0</v>
      </c>
      <c r="C2469" s="3">
        <v>60.0</v>
      </c>
      <c r="D2469" s="3">
        <v>0.0</v>
      </c>
      <c r="E2469" s="3">
        <v>0.0</v>
      </c>
      <c r="F2469" s="3">
        <v>0.0</v>
      </c>
      <c r="G2469" s="3">
        <v>0.0</v>
      </c>
      <c r="H2469" s="3">
        <v>0.0</v>
      </c>
      <c r="I2469" s="2" t="str">
        <f>IFERROR(__xludf.DUMMYFUNCTION("INDEX(SPLIT(A2469, ""/""), 0, 2)"),"regex")</f>
        <v>regex</v>
      </c>
      <c r="J2469" s="2" t="b">
        <f t="shared" si="1"/>
        <v>0</v>
      </c>
    </row>
    <row r="2470">
      <c r="A2470" s="1" t="s">
        <v>1824</v>
      </c>
      <c r="B2470" s="3">
        <v>49.0</v>
      </c>
      <c r="C2470" s="3">
        <v>60.0</v>
      </c>
      <c r="D2470" s="3">
        <v>0.0</v>
      </c>
      <c r="E2470" s="3">
        <v>0.0</v>
      </c>
      <c r="F2470" s="3">
        <v>0.0</v>
      </c>
      <c r="G2470" s="3">
        <v>0.0</v>
      </c>
      <c r="H2470" s="3">
        <v>0.0</v>
      </c>
      <c r="I2470" s="2" t="str">
        <f>IFERROR(__xludf.DUMMYFUNCTION("INDEX(SPLIT(A2470, ""/""), 0, 2)"),"regex")</f>
        <v>regex</v>
      </c>
      <c r="J2470" s="2" t="b">
        <f t="shared" si="1"/>
        <v>0</v>
      </c>
    </row>
    <row r="2471">
      <c r="A2471" s="1" t="s">
        <v>1825</v>
      </c>
      <c r="B2471" s="3">
        <v>103.0</v>
      </c>
      <c r="C2471" s="3">
        <v>60.0</v>
      </c>
      <c r="D2471" s="3">
        <v>0.0</v>
      </c>
      <c r="E2471" s="3">
        <v>0.0</v>
      </c>
      <c r="F2471" s="3">
        <v>0.0</v>
      </c>
      <c r="G2471" s="3">
        <v>0.0</v>
      </c>
      <c r="H2471" s="3">
        <v>0.0</v>
      </c>
      <c r="I2471" s="2" t="str">
        <f>IFERROR(__xludf.DUMMYFUNCTION("INDEX(SPLIT(A2471, ""/""), 0, 2)"),"regex")</f>
        <v>regex</v>
      </c>
      <c r="J2471" s="2" t="b">
        <f t="shared" si="1"/>
        <v>0</v>
      </c>
    </row>
    <row r="2472">
      <c r="A2472" s="1" t="s">
        <v>1826</v>
      </c>
      <c r="B2472" s="3">
        <v>20.0</v>
      </c>
      <c r="C2472" s="3">
        <v>60.0</v>
      </c>
      <c r="D2472" s="3">
        <v>0.0</v>
      </c>
      <c r="E2472" s="3">
        <v>0.0</v>
      </c>
      <c r="F2472" s="3">
        <v>0.0</v>
      </c>
      <c r="G2472" s="3">
        <v>0.0</v>
      </c>
      <c r="H2472" s="3">
        <v>0.0</v>
      </c>
      <c r="I2472" s="2" t="str">
        <f>IFERROR(__xludf.DUMMYFUNCTION("INDEX(SPLIT(A2472, ""/""), 0, 2)"),"regex")</f>
        <v>regex</v>
      </c>
      <c r="J2472" s="2" t="b">
        <f t="shared" si="1"/>
        <v>0</v>
      </c>
    </row>
    <row r="2473">
      <c r="A2473" s="1" t="s">
        <v>1827</v>
      </c>
      <c r="B2473" s="3">
        <v>21.0</v>
      </c>
      <c r="C2473" s="3">
        <v>60.0</v>
      </c>
      <c r="D2473" s="3">
        <v>0.0</v>
      </c>
      <c r="E2473" s="3">
        <v>0.0</v>
      </c>
      <c r="F2473" s="3">
        <v>0.0</v>
      </c>
      <c r="G2473" s="3">
        <v>0.0</v>
      </c>
      <c r="H2473" s="3">
        <v>0.0</v>
      </c>
      <c r="I2473" s="2" t="str">
        <f>IFERROR(__xludf.DUMMYFUNCTION("INDEX(SPLIT(A2473, ""/""), 0, 2)"),"regex")</f>
        <v>regex</v>
      </c>
      <c r="J2473" s="2" t="b">
        <f t="shared" si="1"/>
        <v>0</v>
      </c>
    </row>
    <row r="2474">
      <c r="A2474" s="1" t="s">
        <v>1828</v>
      </c>
      <c r="B2474" s="3">
        <v>90.0</v>
      </c>
      <c r="C2474" s="3">
        <v>60.0</v>
      </c>
      <c r="D2474" s="3">
        <v>0.0</v>
      </c>
      <c r="E2474" s="3">
        <v>0.0</v>
      </c>
      <c r="F2474" s="3">
        <v>0.0</v>
      </c>
      <c r="G2474" s="3">
        <v>0.0</v>
      </c>
      <c r="H2474" s="3">
        <v>0.0</v>
      </c>
      <c r="I2474" s="2" t="str">
        <f>IFERROR(__xludf.DUMMYFUNCTION("INDEX(SPLIT(A2474, ""/""), 0, 2)"),"regex")</f>
        <v>regex</v>
      </c>
      <c r="J2474" s="2" t="b">
        <f t="shared" si="1"/>
        <v>0</v>
      </c>
    </row>
    <row r="2475">
      <c r="A2475" s="1" t="s">
        <v>1829</v>
      </c>
      <c r="B2475" s="3">
        <v>24.0</v>
      </c>
      <c r="C2475" s="3">
        <v>60.0</v>
      </c>
      <c r="D2475" s="3">
        <v>0.0</v>
      </c>
      <c r="E2475" s="3">
        <v>0.0</v>
      </c>
      <c r="F2475" s="3">
        <v>0.0</v>
      </c>
      <c r="G2475" s="3">
        <v>0.0</v>
      </c>
      <c r="H2475" s="3">
        <v>0.0</v>
      </c>
      <c r="I2475" s="2" t="str">
        <f>IFERROR(__xludf.DUMMYFUNCTION("INDEX(SPLIT(A2475, ""/""), 0, 2)"),"regex")</f>
        <v>regex</v>
      </c>
      <c r="J2475" s="2" t="b">
        <f t="shared" si="1"/>
        <v>0</v>
      </c>
    </row>
    <row r="2476">
      <c r="A2476" s="1" t="s">
        <v>1830</v>
      </c>
      <c r="B2476" s="3">
        <v>146.0</v>
      </c>
      <c r="C2476" s="3">
        <v>60.0</v>
      </c>
      <c r="D2476" s="3">
        <v>0.0</v>
      </c>
      <c r="E2476" s="3">
        <v>0.0</v>
      </c>
      <c r="F2476" s="3">
        <v>0.0</v>
      </c>
      <c r="G2476" s="3">
        <v>0.0</v>
      </c>
      <c r="H2476" s="3">
        <v>0.0</v>
      </c>
      <c r="I2476" s="2" t="str">
        <f>IFERROR(__xludf.DUMMYFUNCTION("INDEX(SPLIT(A2476, ""/""), 0, 2)"),"regex")</f>
        <v>regex</v>
      </c>
      <c r="J2476" s="2" t="b">
        <f t="shared" si="1"/>
        <v>0</v>
      </c>
    </row>
    <row r="2477">
      <c r="A2477" s="1" t="s">
        <v>1831</v>
      </c>
      <c r="B2477" s="3">
        <v>15.0</v>
      </c>
      <c r="C2477" s="3">
        <v>60.0</v>
      </c>
      <c r="D2477" s="3">
        <v>0.0</v>
      </c>
      <c r="E2477" s="3">
        <v>0.0</v>
      </c>
      <c r="F2477" s="3">
        <v>0.0</v>
      </c>
      <c r="G2477" s="3">
        <v>0.0</v>
      </c>
      <c r="H2477" s="3">
        <v>0.0</v>
      </c>
      <c r="I2477" s="2" t="str">
        <f>IFERROR(__xludf.DUMMYFUNCTION("INDEX(SPLIT(A2477, ""/""), 0, 2)"),"regex")</f>
        <v>regex</v>
      </c>
      <c r="J2477" s="2" t="b">
        <f t="shared" si="1"/>
        <v>0</v>
      </c>
    </row>
    <row r="2478">
      <c r="A2478" s="1" t="s">
        <v>1832</v>
      </c>
      <c r="B2478" s="3">
        <v>77.0</v>
      </c>
      <c r="C2478" s="3">
        <v>60.0</v>
      </c>
      <c r="D2478" s="3">
        <v>0.0</v>
      </c>
      <c r="E2478" s="3">
        <v>0.0</v>
      </c>
      <c r="F2478" s="3">
        <v>0.0</v>
      </c>
      <c r="G2478" s="3">
        <v>0.0</v>
      </c>
      <c r="H2478" s="3">
        <v>0.0</v>
      </c>
      <c r="I2478" s="2" t="str">
        <f>IFERROR(__xludf.DUMMYFUNCTION("INDEX(SPLIT(A2478, ""/""), 0, 2)"),"regex")</f>
        <v>regex</v>
      </c>
      <c r="J2478" s="2" t="b">
        <f t="shared" si="1"/>
        <v>0</v>
      </c>
    </row>
    <row r="2479">
      <c r="A2479" s="1" t="s">
        <v>1833</v>
      </c>
      <c r="B2479" s="3">
        <v>4501.0</v>
      </c>
      <c r="C2479" s="3">
        <v>60.0</v>
      </c>
      <c r="D2479" s="3">
        <v>1.0</v>
      </c>
      <c r="E2479" s="3">
        <v>1.0</v>
      </c>
      <c r="F2479" s="3">
        <v>1.0</v>
      </c>
      <c r="G2479" s="3">
        <v>1.0</v>
      </c>
      <c r="H2479" s="3">
        <v>1.0</v>
      </c>
      <c r="I2479" s="2" t="str">
        <f>IFERROR(__xludf.DUMMYFUNCTION("INDEX(SPLIT(A2479, ""/""), 0, 2)"),"regex")</f>
        <v>regex</v>
      </c>
      <c r="J2479" s="2" t="b">
        <f t="shared" si="1"/>
        <v>0</v>
      </c>
    </row>
    <row r="2480">
      <c r="A2480" s="1" t="s">
        <v>1834</v>
      </c>
      <c r="B2480" s="3">
        <v>104.0</v>
      </c>
      <c r="C2480" s="3">
        <v>60.0</v>
      </c>
      <c r="D2480" s="3">
        <v>0.0</v>
      </c>
      <c r="E2480" s="3">
        <v>0.0</v>
      </c>
      <c r="F2480" s="3">
        <v>0.0</v>
      </c>
      <c r="G2480" s="3">
        <v>0.0</v>
      </c>
      <c r="H2480" s="3">
        <v>0.0</v>
      </c>
      <c r="I2480" s="2" t="str">
        <f>IFERROR(__xludf.DUMMYFUNCTION("INDEX(SPLIT(A2480, ""/""), 0, 2)"),"regex")</f>
        <v>regex</v>
      </c>
      <c r="J2480" s="2" t="b">
        <f t="shared" si="1"/>
        <v>0</v>
      </c>
    </row>
    <row r="2481">
      <c r="A2481" s="1" t="s">
        <v>1835</v>
      </c>
      <c r="B2481" s="3">
        <v>35.0</v>
      </c>
      <c r="C2481" s="3">
        <v>60.0</v>
      </c>
      <c r="D2481" s="3">
        <v>0.0</v>
      </c>
      <c r="E2481" s="3">
        <v>0.0</v>
      </c>
      <c r="F2481" s="3">
        <v>0.0</v>
      </c>
      <c r="G2481" s="3">
        <v>0.0</v>
      </c>
      <c r="H2481" s="3">
        <v>0.0</v>
      </c>
      <c r="I2481" s="2" t="str">
        <f>IFERROR(__xludf.DUMMYFUNCTION("INDEX(SPLIT(A2481, ""/""), 0, 2)"),"regex")</f>
        <v>regex</v>
      </c>
      <c r="J2481" s="2" t="b">
        <f t="shared" si="1"/>
        <v>0</v>
      </c>
    </row>
    <row r="2482">
      <c r="A2482" s="1" t="s">
        <v>1836</v>
      </c>
      <c r="B2482" s="3">
        <v>43.0</v>
      </c>
      <c r="C2482" s="3">
        <v>60.0</v>
      </c>
      <c r="D2482" s="3">
        <v>0.0</v>
      </c>
      <c r="E2482" s="3">
        <v>0.0</v>
      </c>
      <c r="F2482" s="3">
        <v>0.0</v>
      </c>
      <c r="G2482" s="3">
        <v>0.0</v>
      </c>
      <c r="H2482" s="3">
        <v>0.0</v>
      </c>
      <c r="I2482" s="2" t="str">
        <f>IFERROR(__xludf.DUMMYFUNCTION("INDEX(SPLIT(A2482, ""/""), 0, 2)"),"regex")</f>
        <v>regex</v>
      </c>
      <c r="J2482" s="2" t="b">
        <f t="shared" si="1"/>
        <v>0</v>
      </c>
    </row>
    <row r="2483">
      <c r="A2483" s="1" t="s">
        <v>1837</v>
      </c>
      <c r="B2483" s="3">
        <v>73.0</v>
      </c>
      <c r="C2483" s="3">
        <v>60.0</v>
      </c>
      <c r="D2483" s="3">
        <v>0.0</v>
      </c>
      <c r="E2483" s="3">
        <v>0.0</v>
      </c>
      <c r="F2483" s="3">
        <v>0.0</v>
      </c>
      <c r="G2483" s="3">
        <v>0.0</v>
      </c>
      <c r="H2483" s="3">
        <v>0.0</v>
      </c>
      <c r="I2483" s="2" t="str">
        <f>IFERROR(__xludf.DUMMYFUNCTION("INDEX(SPLIT(A2483, ""/""), 0, 2)"),"regex")</f>
        <v>regex</v>
      </c>
      <c r="J2483" s="2" t="b">
        <f t="shared" si="1"/>
        <v>0</v>
      </c>
    </row>
    <row r="2484">
      <c r="A2484" s="1" t="s">
        <v>1838</v>
      </c>
      <c r="B2484" s="3">
        <v>25.0</v>
      </c>
      <c r="C2484" s="3">
        <v>60.0</v>
      </c>
      <c r="D2484" s="3">
        <v>0.0</v>
      </c>
      <c r="E2484" s="3">
        <v>0.0</v>
      </c>
      <c r="F2484" s="3">
        <v>0.0</v>
      </c>
      <c r="G2484" s="3">
        <v>0.0</v>
      </c>
      <c r="H2484" s="3">
        <v>0.0</v>
      </c>
      <c r="I2484" s="2" t="str">
        <f>IFERROR(__xludf.DUMMYFUNCTION("INDEX(SPLIT(A2484, ""/""), 0, 2)"),"regex")</f>
        <v>regex</v>
      </c>
      <c r="J2484" s="2" t="b">
        <f t="shared" si="1"/>
        <v>0</v>
      </c>
    </row>
    <row r="2485">
      <c r="A2485" s="1" t="s">
        <v>1839</v>
      </c>
      <c r="B2485" s="3">
        <v>105.0</v>
      </c>
      <c r="C2485" s="3">
        <v>60.0</v>
      </c>
      <c r="D2485" s="3">
        <v>0.0</v>
      </c>
      <c r="E2485" s="3">
        <v>0.0</v>
      </c>
      <c r="F2485" s="3">
        <v>0.0</v>
      </c>
      <c r="G2485" s="3">
        <v>0.0</v>
      </c>
      <c r="H2485" s="3">
        <v>0.0</v>
      </c>
      <c r="I2485" s="2" t="str">
        <f>IFERROR(__xludf.DUMMYFUNCTION("INDEX(SPLIT(A2485, ""/""), 0, 2)"),"regex")</f>
        <v>regex</v>
      </c>
      <c r="J2485" s="2" t="b">
        <f t="shared" si="1"/>
        <v>0</v>
      </c>
    </row>
    <row r="2486">
      <c r="A2486" s="1" t="s">
        <v>1840</v>
      </c>
      <c r="B2486" s="3">
        <v>11.0</v>
      </c>
      <c r="C2486" s="3">
        <v>60.0</v>
      </c>
      <c r="D2486" s="3">
        <v>0.0</v>
      </c>
      <c r="E2486" s="3">
        <v>0.0</v>
      </c>
      <c r="F2486" s="3">
        <v>0.0</v>
      </c>
      <c r="G2486" s="3">
        <v>0.0</v>
      </c>
      <c r="H2486" s="3">
        <v>0.0</v>
      </c>
      <c r="I2486" s="2" t="str">
        <f>IFERROR(__xludf.DUMMYFUNCTION("INDEX(SPLIT(A2486, ""/""), 0, 2)"),"regex")</f>
        <v>regex</v>
      </c>
      <c r="J2486" s="2" t="b">
        <f t="shared" si="1"/>
        <v>0</v>
      </c>
    </row>
    <row r="2487">
      <c r="A2487" s="1" t="s">
        <v>1841</v>
      </c>
      <c r="B2487" s="3">
        <v>899.0</v>
      </c>
      <c r="C2487" s="3">
        <v>60.0</v>
      </c>
      <c r="D2487" s="3">
        <v>12.0</v>
      </c>
      <c r="E2487" s="3">
        <v>0.0</v>
      </c>
      <c r="F2487" s="3">
        <v>0.0</v>
      </c>
      <c r="G2487" s="3">
        <v>1.0</v>
      </c>
      <c r="H2487" s="3">
        <v>0.0</v>
      </c>
      <c r="I2487" s="2" t="str">
        <f>IFERROR(__xludf.DUMMYFUNCTION("INDEX(SPLIT(A2487, ""/""), 0, 2)"),"regex")</f>
        <v>regex</v>
      </c>
      <c r="J2487" s="2" t="b">
        <f t="shared" si="1"/>
        <v>1</v>
      </c>
    </row>
    <row r="2488">
      <c r="A2488" s="1" t="s">
        <v>1842</v>
      </c>
      <c r="B2488" s="3">
        <v>36.0</v>
      </c>
      <c r="C2488" s="3">
        <v>60.0</v>
      </c>
      <c r="D2488" s="3">
        <v>0.0</v>
      </c>
      <c r="E2488" s="3">
        <v>0.0</v>
      </c>
      <c r="F2488" s="3">
        <v>0.0</v>
      </c>
      <c r="G2488" s="3">
        <v>0.0</v>
      </c>
      <c r="H2488" s="3">
        <v>0.0</v>
      </c>
      <c r="I2488" s="2" t="str">
        <f>IFERROR(__xludf.DUMMYFUNCTION("INDEX(SPLIT(A2488, ""/""), 0, 2)"),"regex")</f>
        <v>regex</v>
      </c>
      <c r="J2488" s="2" t="b">
        <f t="shared" si="1"/>
        <v>0</v>
      </c>
    </row>
    <row r="2489">
      <c r="A2489" s="1" t="s">
        <v>1843</v>
      </c>
      <c r="B2489" s="3">
        <v>58.0</v>
      </c>
      <c r="C2489" s="3">
        <v>60.0</v>
      </c>
      <c r="D2489" s="3">
        <v>0.0</v>
      </c>
      <c r="E2489" s="3">
        <v>0.0</v>
      </c>
      <c r="F2489" s="3">
        <v>0.0</v>
      </c>
      <c r="G2489" s="3">
        <v>0.0</v>
      </c>
      <c r="H2489" s="3">
        <v>0.0</v>
      </c>
      <c r="I2489" s="2" t="str">
        <f>IFERROR(__xludf.DUMMYFUNCTION("INDEX(SPLIT(A2489, ""/""), 0, 2)"),"regex")</f>
        <v>regex</v>
      </c>
      <c r="J2489" s="2" t="b">
        <f t="shared" si="1"/>
        <v>0</v>
      </c>
    </row>
    <row r="2490">
      <c r="A2490" s="1" t="s">
        <v>1844</v>
      </c>
      <c r="B2490" s="3">
        <v>15.0</v>
      </c>
      <c r="C2490" s="3">
        <v>60.0</v>
      </c>
      <c r="D2490" s="3">
        <v>0.0</v>
      </c>
      <c r="E2490" s="3">
        <v>0.0</v>
      </c>
      <c r="F2490" s="3">
        <v>0.0</v>
      </c>
      <c r="G2490" s="3">
        <v>0.0</v>
      </c>
      <c r="H2490" s="3">
        <v>0.0</v>
      </c>
      <c r="I2490" s="2" t="str">
        <f>IFERROR(__xludf.DUMMYFUNCTION("INDEX(SPLIT(A2490, ""/""), 0, 2)"),"regex")</f>
        <v>regex</v>
      </c>
      <c r="J2490" s="2" t="b">
        <f t="shared" si="1"/>
        <v>0</v>
      </c>
    </row>
    <row r="2491">
      <c r="A2491" s="1" t="s">
        <v>1845</v>
      </c>
      <c r="B2491" s="3">
        <v>31.0</v>
      </c>
      <c r="C2491" s="3">
        <v>60.0</v>
      </c>
      <c r="D2491" s="3">
        <v>0.0</v>
      </c>
      <c r="E2491" s="3">
        <v>0.0</v>
      </c>
      <c r="F2491" s="3">
        <v>0.0</v>
      </c>
      <c r="G2491" s="3">
        <v>0.0</v>
      </c>
      <c r="H2491" s="3">
        <v>0.0</v>
      </c>
      <c r="I2491" s="2" t="str">
        <f>IFERROR(__xludf.DUMMYFUNCTION("INDEX(SPLIT(A2491, ""/""), 0, 2)"),"regex")</f>
        <v>regex</v>
      </c>
      <c r="J2491" s="2" t="b">
        <f t="shared" si="1"/>
        <v>0</v>
      </c>
    </row>
    <row r="2492">
      <c r="A2492" s="1" t="s">
        <v>1846</v>
      </c>
      <c r="B2492" s="3">
        <v>8.0</v>
      </c>
      <c r="C2492" s="3">
        <v>60.0</v>
      </c>
      <c r="D2492" s="3">
        <v>0.0</v>
      </c>
      <c r="E2492" s="3">
        <v>0.0</v>
      </c>
      <c r="F2492" s="3">
        <v>0.0</v>
      </c>
      <c r="G2492" s="3">
        <v>0.0</v>
      </c>
      <c r="H2492" s="3">
        <v>0.0</v>
      </c>
      <c r="I2492" s="2" t="str">
        <f>IFERROR(__xludf.DUMMYFUNCTION("INDEX(SPLIT(A2492, ""/""), 0, 2)"),"regex")</f>
        <v>regex</v>
      </c>
      <c r="J2492" s="2" t="b">
        <f t="shared" si="1"/>
        <v>0</v>
      </c>
    </row>
    <row r="2493">
      <c r="A2493" s="1" t="s">
        <v>1847</v>
      </c>
      <c r="B2493" s="3">
        <v>15.0</v>
      </c>
      <c r="C2493" s="3">
        <v>60.0</v>
      </c>
      <c r="D2493" s="3">
        <v>0.0</v>
      </c>
      <c r="E2493" s="3">
        <v>0.0</v>
      </c>
      <c r="F2493" s="3">
        <v>0.0</v>
      </c>
      <c r="G2493" s="3">
        <v>0.0</v>
      </c>
      <c r="H2493" s="3">
        <v>0.0</v>
      </c>
      <c r="I2493" s="2" t="str">
        <f>IFERROR(__xludf.DUMMYFUNCTION("INDEX(SPLIT(A2493, ""/""), 0, 2)"),"regex")</f>
        <v>regex</v>
      </c>
      <c r="J2493" s="2" t="b">
        <f t="shared" si="1"/>
        <v>0</v>
      </c>
    </row>
    <row r="2494">
      <c r="A2494" s="1" t="s">
        <v>1848</v>
      </c>
      <c r="B2494" s="3">
        <v>64.0</v>
      </c>
      <c r="C2494" s="3">
        <v>60.0</v>
      </c>
      <c r="D2494" s="3">
        <v>0.0</v>
      </c>
      <c r="E2494" s="3">
        <v>0.0</v>
      </c>
      <c r="F2494" s="3">
        <v>0.0</v>
      </c>
      <c r="G2494" s="3">
        <v>0.0</v>
      </c>
      <c r="H2494" s="3">
        <v>0.0</v>
      </c>
      <c r="I2494" s="2" t="str">
        <f>IFERROR(__xludf.DUMMYFUNCTION("INDEX(SPLIT(A2494, ""/""), 0, 2)"),"regex")</f>
        <v>regex</v>
      </c>
      <c r="J2494" s="2" t="b">
        <f t="shared" si="1"/>
        <v>0</v>
      </c>
    </row>
    <row r="2495">
      <c r="A2495" s="1" t="s">
        <v>1849</v>
      </c>
      <c r="B2495" s="3">
        <v>6.0</v>
      </c>
      <c r="C2495" s="3">
        <v>60.0</v>
      </c>
      <c r="D2495" s="3">
        <v>0.0</v>
      </c>
      <c r="E2495" s="3">
        <v>0.0</v>
      </c>
      <c r="F2495" s="3">
        <v>0.0</v>
      </c>
      <c r="G2495" s="3">
        <v>0.0</v>
      </c>
      <c r="H2495" s="3">
        <v>0.0</v>
      </c>
      <c r="I2495" s="2" t="str">
        <f>IFERROR(__xludf.DUMMYFUNCTION("INDEX(SPLIT(A2495, ""/""), 0, 2)"),"regex")</f>
        <v>regex</v>
      </c>
      <c r="J2495" s="2" t="b">
        <f t="shared" si="1"/>
        <v>0</v>
      </c>
    </row>
    <row r="2496">
      <c r="A2496" s="1" t="s">
        <v>1850</v>
      </c>
      <c r="B2496" s="3">
        <v>106.0</v>
      </c>
      <c r="C2496" s="3">
        <v>60.0</v>
      </c>
      <c r="D2496" s="3">
        <v>0.0</v>
      </c>
      <c r="E2496" s="3">
        <v>0.0</v>
      </c>
      <c r="F2496" s="3">
        <v>0.0</v>
      </c>
      <c r="G2496" s="3">
        <v>0.0</v>
      </c>
      <c r="H2496" s="3">
        <v>0.0</v>
      </c>
      <c r="I2496" s="2" t="str">
        <f>IFERROR(__xludf.DUMMYFUNCTION("INDEX(SPLIT(A2496, ""/""), 0, 2)"),"regex")</f>
        <v>regex</v>
      </c>
      <c r="J2496" s="2" t="b">
        <f t="shared" si="1"/>
        <v>0</v>
      </c>
    </row>
    <row r="2497">
      <c r="A2497" s="1" t="s">
        <v>1851</v>
      </c>
      <c r="B2497" s="3">
        <v>33.0</v>
      </c>
      <c r="C2497" s="3">
        <v>60.0</v>
      </c>
      <c r="D2497" s="3">
        <v>0.0</v>
      </c>
      <c r="E2497" s="3">
        <v>0.0</v>
      </c>
      <c r="F2497" s="3">
        <v>0.0</v>
      </c>
      <c r="G2497" s="3">
        <v>0.0</v>
      </c>
      <c r="H2497" s="3">
        <v>0.0</v>
      </c>
      <c r="I2497" s="2" t="str">
        <f>IFERROR(__xludf.DUMMYFUNCTION("INDEX(SPLIT(A2497, ""/""), 0, 2)"),"regex")</f>
        <v>regex</v>
      </c>
      <c r="J2497" s="2" t="b">
        <f t="shared" si="1"/>
        <v>0</v>
      </c>
    </row>
    <row r="2498">
      <c r="A2498" s="1" t="s">
        <v>1852</v>
      </c>
      <c r="B2498" s="3">
        <v>46.0</v>
      </c>
      <c r="C2498" s="3">
        <v>60.0</v>
      </c>
      <c r="D2498" s="3">
        <v>0.0</v>
      </c>
      <c r="E2498" s="3">
        <v>0.0</v>
      </c>
      <c r="F2498" s="3">
        <v>0.0</v>
      </c>
      <c r="G2498" s="3">
        <v>0.0</v>
      </c>
      <c r="H2498" s="3">
        <v>0.0</v>
      </c>
      <c r="I2498" s="2" t="str">
        <f>IFERROR(__xludf.DUMMYFUNCTION("INDEX(SPLIT(A2498, ""/""), 0, 2)"),"regex")</f>
        <v>regex</v>
      </c>
      <c r="J2498" s="2" t="b">
        <f t="shared" si="1"/>
        <v>0</v>
      </c>
    </row>
    <row r="2499">
      <c r="A2499" s="1" t="s">
        <v>1853</v>
      </c>
      <c r="B2499" s="3">
        <v>9.0</v>
      </c>
      <c r="C2499" s="3">
        <v>60.0</v>
      </c>
      <c r="D2499" s="3">
        <v>0.0</v>
      </c>
      <c r="E2499" s="3">
        <v>0.0</v>
      </c>
      <c r="F2499" s="3">
        <v>0.0</v>
      </c>
      <c r="G2499" s="3">
        <v>0.0</v>
      </c>
      <c r="H2499" s="3">
        <v>0.0</v>
      </c>
      <c r="I2499" s="2" t="str">
        <f>IFERROR(__xludf.DUMMYFUNCTION("INDEX(SPLIT(A2499, ""/""), 0, 2)"),"regex")</f>
        <v>regex</v>
      </c>
      <c r="J2499" s="2" t="b">
        <f t="shared" si="1"/>
        <v>0</v>
      </c>
    </row>
    <row r="2500">
      <c r="A2500" s="1" t="s">
        <v>1854</v>
      </c>
      <c r="B2500" s="3">
        <v>31.0</v>
      </c>
      <c r="C2500" s="3">
        <v>60.0</v>
      </c>
      <c r="D2500" s="3">
        <v>0.0</v>
      </c>
      <c r="E2500" s="3">
        <v>0.0</v>
      </c>
      <c r="F2500" s="3">
        <v>0.0</v>
      </c>
      <c r="G2500" s="3">
        <v>0.0</v>
      </c>
      <c r="H2500" s="3">
        <v>0.0</v>
      </c>
      <c r="I2500" s="2" t="str">
        <f>IFERROR(__xludf.DUMMYFUNCTION("INDEX(SPLIT(A2500, ""/""), 0, 2)"),"regex")</f>
        <v>regex</v>
      </c>
      <c r="J2500" s="2" t="b">
        <f t="shared" si="1"/>
        <v>0</v>
      </c>
    </row>
    <row r="2501">
      <c r="A2501" s="1" t="s">
        <v>1855</v>
      </c>
      <c r="B2501" s="3">
        <v>21.0</v>
      </c>
      <c r="C2501" s="3">
        <v>60.0</v>
      </c>
      <c r="D2501" s="3">
        <v>0.0</v>
      </c>
      <c r="E2501" s="3">
        <v>0.0</v>
      </c>
      <c r="F2501" s="3">
        <v>0.0</v>
      </c>
      <c r="G2501" s="3">
        <v>0.0</v>
      </c>
      <c r="H2501" s="3">
        <v>0.0</v>
      </c>
      <c r="I2501" s="2" t="str">
        <f>IFERROR(__xludf.DUMMYFUNCTION("INDEX(SPLIT(A2501, ""/""), 0, 2)"),"regex")</f>
        <v>regex</v>
      </c>
      <c r="J2501" s="2" t="b">
        <f t="shared" si="1"/>
        <v>0</v>
      </c>
    </row>
    <row r="2502">
      <c r="A2502" s="1" t="s">
        <v>1856</v>
      </c>
      <c r="B2502" s="3">
        <v>43.0</v>
      </c>
      <c r="C2502" s="3">
        <v>60.0</v>
      </c>
      <c r="D2502" s="3">
        <v>0.0</v>
      </c>
      <c r="E2502" s="3">
        <v>0.0</v>
      </c>
      <c r="F2502" s="3">
        <v>0.0</v>
      </c>
      <c r="G2502" s="3">
        <v>0.0</v>
      </c>
      <c r="H2502" s="3">
        <v>0.0</v>
      </c>
      <c r="I2502" s="2" t="str">
        <f>IFERROR(__xludf.DUMMYFUNCTION("INDEX(SPLIT(A2502, ""/""), 0, 2)"),"regex")</f>
        <v>regex</v>
      </c>
      <c r="J2502" s="2" t="b">
        <f t="shared" si="1"/>
        <v>0</v>
      </c>
    </row>
    <row r="2503">
      <c r="A2503" s="1" t="s">
        <v>1857</v>
      </c>
      <c r="B2503" s="3">
        <v>234.0</v>
      </c>
      <c r="C2503" s="3">
        <v>60.0</v>
      </c>
      <c r="D2503" s="3">
        <v>1.0</v>
      </c>
      <c r="E2503" s="3">
        <v>0.0</v>
      </c>
      <c r="F2503" s="3">
        <v>0.0</v>
      </c>
      <c r="G2503" s="3">
        <v>0.0</v>
      </c>
      <c r="H2503" s="3">
        <v>0.0</v>
      </c>
      <c r="I2503" s="2" t="str">
        <f>IFERROR(__xludf.DUMMYFUNCTION("INDEX(SPLIT(A2503, ""/""), 0, 2)"),"regex")</f>
        <v>regex</v>
      </c>
      <c r="J2503" s="2" t="b">
        <f t="shared" si="1"/>
        <v>0</v>
      </c>
    </row>
    <row r="2504">
      <c r="A2504" s="1" t="s">
        <v>1858</v>
      </c>
      <c r="B2504" s="3">
        <v>29.0</v>
      </c>
      <c r="C2504" s="3">
        <v>60.0</v>
      </c>
      <c r="D2504" s="3">
        <v>0.0</v>
      </c>
      <c r="E2504" s="3">
        <v>0.0</v>
      </c>
      <c r="F2504" s="3">
        <v>0.0</v>
      </c>
      <c r="G2504" s="3">
        <v>0.0</v>
      </c>
      <c r="H2504" s="3">
        <v>0.0</v>
      </c>
      <c r="I2504" s="2" t="str">
        <f>IFERROR(__xludf.DUMMYFUNCTION("INDEX(SPLIT(A2504, ""/""), 0, 2)"),"regex")</f>
        <v>regex</v>
      </c>
      <c r="J2504" s="2" t="b">
        <f t="shared" si="1"/>
        <v>0</v>
      </c>
    </row>
    <row r="2505">
      <c r="A2505" s="1" t="s">
        <v>1859</v>
      </c>
      <c r="B2505" s="3">
        <v>57.0</v>
      </c>
      <c r="C2505" s="3">
        <v>60.0</v>
      </c>
      <c r="D2505" s="3">
        <v>0.0</v>
      </c>
      <c r="E2505" s="3">
        <v>0.0</v>
      </c>
      <c r="F2505" s="3">
        <v>0.0</v>
      </c>
      <c r="G2505" s="3">
        <v>0.0</v>
      </c>
      <c r="H2505" s="3">
        <v>0.0</v>
      </c>
      <c r="I2505" s="2" t="str">
        <f>IFERROR(__xludf.DUMMYFUNCTION("INDEX(SPLIT(A2505, ""/""), 0, 2)"),"regex")</f>
        <v>regex</v>
      </c>
      <c r="J2505" s="2" t="b">
        <f t="shared" si="1"/>
        <v>0</v>
      </c>
    </row>
    <row r="2506">
      <c r="A2506" s="1" t="s">
        <v>1860</v>
      </c>
      <c r="B2506" s="3">
        <v>9.0</v>
      </c>
      <c r="C2506" s="3">
        <v>60.0</v>
      </c>
      <c r="D2506" s="3">
        <v>0.0</v>
      </c>
      <c r="E2506" s="3">
        <v>0.0</v>
      </c>
      <c r="F2506" s="3">
        <v>0.0</v>
      </c>
      <c r="G2506" s="3">
        <v>0.0</v>
      </c>
      <c r="H2506" s="3">
        <v>0.0</v>
      </c>
      <c r="I2506" s="2" t="str">
        <f>IFERROR(__xludf.DUMMYFUNCTION("INDEX(SPLIT(A2506, ""/""), 0, 2)"),"regex")</f>
        <v>regex</v>
      </c>
      <c r="J2506" s="2" t="b">
        <f t="shared" si="1"/>
        <v>0</v>
      </c>
    </row>
    <row r="2507">
      <c r="A2507" s="1" t="s">
        <v>1861</v>
      </c>
      <c r="B2507" s="3">
        <v>23.0</v>
      </c>
      <c r="C2507" s="3">
        <v>60.0</v>
      </c>
      <c r="D2507" s="3">
        <v>0.0</v>
      </c>
      <c r="E2507" s="3">
        <v>0.0</v>
      </c>
      <c r="F2507" s="3">
        <v>0.0</v>
      </c>
      <c r="G2507" s="3">
        <v>0.0</v>
      </c>
      <c r="H2507" s="3">
        <v>0.0</v>
      </c>
      <c r="I2507" s="2" t="str">
        <f>IFERROR(__xludf.DUMMYFUNCTION("INDEX(SPLIT(A2507, ""/""), 0, 2)"),"regex")</f>
        <v>regex</v>
      </c>
      <c r="J2507" s="2" t="b">
        <f t="shared" si="1"/>
        <v>0</v>
      </c>
    </row>
    <row r="2508">
      <c r="A2508" s="1" t="s">
        <v>1862</v>
      </c>
      <c r="B2508" s="3">
        <v>80.0</v>
      </c>
      <c r="C2508" s="3">
        <v>60.0</v>
      </c>
      <c r="D2508" s="3">
        <v>0.0</v>
      </c>
      <c r="E2508" s="3">
        <v>0.0</v>
      </c>
      <c r="F2508" s="3">
        <v>0.0</v>
      </c>
      <c r="G2508" s="3">
        <v>0.0</v>
      </c>
      <c r="H2508" s="3">
        <v>0.0</v>
      </c>
      <c r="I2508" s="2" t="str">
        <f>IFERROR(__xludf.DUMMYFUNCTION("INDEX(SPLIT(A2508, ""/""), 0, 2)"),"regex")</f>
        <v>regex</v>
      </c>
      <c r="J2508" s="2" t="b">
        <f t="shared" si="1"/>
        <v>0</v>
      </c>
    </row>
    <row r="2509">
      <c r="A2509" s="1" t="s">
        <v>1863</v>
      </c>
      <c r="B2509" s="3">
        <v>31.0</v>
      </c>
      <c r="C2509" s="3">
        <v>60.0</v>
      </c>
      <c r="D2509" s="3">
        <v>0.0</v>
      </c>
      <c r="E2509" s="3">
        <v>0.0</v>
      </c>
      <c r="F2509" s="3">
        <v>0.0</v>
      </c>
      <c r="G2509" s="3">
        <v>0.0</v>
      </c>
      <c r="H2509" s="3">
        <v>0.0</v>
      </c>
      <c r="I2509" s="2" t="str">
        <f>IFERROR(__xludf.DUMMYFUNCTION("INDEX(SPLIT(A2509, ""/""), 0, 2)"),"regex")</f>
        <v>regex</v>
      </c>
      <c r="J2509" s="2" t="b">
        <f t="shared" si="1"/>
        <v>0</v>
      </c>
    </row>
    <row r="2510">
      <c r="A2510" s="1" t="s">
        <v>1864</v>
      </c>
      <c r="B2510" s="3">
        <v>140.0</v>
      </c>
      <c r="C2510" s="3">
        <v>60.0</v>
      </c>
      <c r="D2510" s="3">
        <v>0.0</v>
      </c>
      <c r="E2510" s="3">
        <v>0.0</v>
      </c>
      <c r="F2510" s="3">
        <v>0.0</v>
      </c>
      <c r="G2510" s="3">
        <v>0.0</v>
      </c>
      <c r="H2510" s="3">
        <v>0.0</v>
      </c>
      <c r="I2510" s="2" t="str">
        <f>IFERROR(__xludf.DUMMYFUNCTION("INDEX(SPLIT(A2510, ""/""), 0, 2)"),"regex")</f>
        <v>regex</v>
      </c>
      <c r="J2510" s="2" t="b">
        <f t="shared" si="1"/>
        <v>0</v>
      </c>
    </row>
    <row r="2511">
      <c r="A2511" s="1" t="s">
        <v>1865</v>
      </c>
      <c r="B2511" s="3">
        <v>264.0</v>
      </c>
      <c r="C2511" s="3">
        <v>60.0</v>
      </c>
      <c r="D2511" s="3">
        <v>1.0</v>
      </c>
      <c r="E2511" s="3">
        <v>0.0</v>
      </c>
      <c r="F2511" s="3">
        <v>0.0</v>
      </c>
      <c r="G2511" s="3">
        <v>0.0</v>
      </c>
      <c r="H2511" s="3">
        <v>0.0</v>
      </c>
      <c r="I2511" s="2" t="str">
        <f>IFERROR(__xludf.DUMMYFUNCTION("INDEX(SPLIT(A2511, ""/""), 0, 2)"),"regex")</f>
        <v>regex</v>
      </c>
      <c r="J2511" s="2" t="b">
        <f t="shared" si="1"/>
        <v>0</v>
      </c>
    </row>
    <row r="2512">
      <c r="A2512" s="1" t="s">
        <v>1866</v>
      </c>
      <c r="B2512" s="3">
        <v>38.0</v>
      </c>
      <c r="C2512" s="3">
        <v>60.0</v>
      </c>
      <c r="D2512" s="3">
        <v>0.0</v>
      </c>
      <c r="E2512" s="3">
        <v>0.0</v>
      </c>
      <c r="F2512" s="3">
        <v>0.0</v>
      </c>
      <c r="G2512" s="3">
        <v>0.0</v>
      </c>
      <c r="H2512" s="3">
        <v>0.0</v>
      </c>
      <c r="I2512" s="2" t="str">
        <f>IFERROR(__xludf.DUMMYFUNCTION("INDEX(SPLIT(A2512, ""/""), 0, 2)"),"regex")</f>
        <v>regex</v>
      </c>
      <c r="J2512" s="2" t="b">
        <f t="shared" si="1"/>
        <v>0</v>
      </c>
    </row>
    <row r="2513">
      <c r="A2513" s="1" t="s">
        <v>1867</v>
      </c>
      <c r="B2513" s="3">
        <v>45.0</v>
      </c>
      <c r="C2513" s="3">
        <v>60.0</v>
      </c>
      <c r="D2513" s="3">
        <v>0.0</v>
      </c>
      <c r="E2513" s="3">
        <v>0.0</v>
      </c>
      <c r="F2513" s="3">
        <v>0.0</v>
      </c>
      <c r="G2513" s="3">
        <v>0.0</v>
      </c>
      <c r="H2513" s="3">
        <v>0.0</v>
      </c>
      <c r="I2513" s="2" t="str">
        <f>IFERROR(__xludf.DUMMYFUNCTION("INDEX(SPLIT(A2513, ""/""), 0, 2)"),"regex")</f>
        <v>regex</v>
      </c>
      <c r="J2513" s="2" t="b">
        <f t="shared" si="1"/>
        <v>0</v>
      </c>
    </row>
    <row r="2514">
      <c r="A2514" s="1" t="s">
        <v>1868</v>
      </c>
      <c r="B2514" s="3">
        <v>40.0</v>
      </c>
      <c r="C2514" s="3">
        <v>60.0</v>
      </c>
      <c r="D2514" s="3">
        <v>0.0</v>
      </c>
      <c r="E2514" s="3">
        <v>0.0</v>
      </c>
      <c r="F2514" s="3">
        <v>0.0</v>
      </c>
      <c r="G2514" s="3">
        <v>0.0</v>
      </c>
      <c r="H2514" s="3">
        <v>0.0</v>
      </c>
      <c r="I2514" s="2" t="str">
        <f>IFERROR(__xludf.DUMMYFUNCTION("INDEX(SPLIT(A2514, ""/""), 0, 2)"),"regex")</f>
        <v>regex</v>
      </c>
      <c r="J2514" s="2" t="b">
        <f t="shared" si="1"/>
        <v>0</v>
      </c>
    </row>
    <row r="2515">
      <c r="A2515" s="1" t="s">
        <v>1869</v>
      </c>
      <c r="B2515" s="3">
        <v>13.0</v>
      </c>
      <c r="C2515" s="3">
        <v>60.0</v>
      </c>
      <c r="D2515" s="3">
        <v>0.0</v>
      </c>
      <c r="E2515" s="3">
        <v>0.0</v>
      </c>
      <c r="F2515" s="3">
        <v>0.0</v>
      </c>
      <c r="G2515" s="3">
        <v>0.0</v>
      </c>
      <c r="H2515" s="3">
        <v>0.0</v>
      </c>
      <c r="I2515" s="2" t="str">
        <f>IFERROR(__xludf.DUMMYFUNCTION("INDEX(SPLIT(A2515, ""/""), 0, 2)"),"regex")</f>
        <v>regex</v>
      </c>
      <c r="J2515" s="2" t="b">
        <f t="shared" si="1"/>
        <v>0</v>
      </c>
    </row>
    <row r="2516">
      <c r="A2516" s="1" t="s">
        <v>1870</v>
      </c>
      <c r="B2516" s="3">
        <v>385.0</v>
      </c>
      <c r="C2516" s="3">
        <v>60.0</v>
      </c>
      <c r="D2516" s="3">
        <v>1.0</v>
      </c>
      <c r="E2516" s="3">
        <v>0.0</v>
      </c>
      <c r="F2516" s="3">
        <v>0.0</v>
      </c>
      <c r="G2516" s="3">
        <v>0.0</v>
      </c>
      <c r="H2516" s="3">
        <v>0.0</v>
      </c>
      <c r="I2516" s="2" t="str">
        <f>IFERROR(__xludf.DUMMYFUNCTION("INDEX(SPLIT(A2516, ""/""), 0, 2)"),"regex")</f>
        <v>regex</v>
      </c>
      <c r="J2516" s="2" t="b">
        <f t="shared" si="1"/>
        <v>0</v>
      </c>
    </row>
    <row r="2517">
      <c r="A2517" s="1" t="s">
        <v>1871</v>
      </c>
      <c r="B2517" s="3">
        <v>123.0</v>
      </c>
      <c r="C2517" s="3">
        <v>60.0</v>
      </c>
      <c r="D2517" s="3">
        <v>0.0</v>
      </c>
      <c r="E2517" s="3">
        <v>0.0</v>
      </c>
      <c r="F2517" s="3">
        <v>0.0</v>
      </c>
      <c r="G2517" s="3">
        <v>0.0</v>
      </c>
      <c r="H2517" s="3">
        <v>0.0</v>
      </c>
      <c r="I2517" s="2" t="str">
        <f>IFERROR(__xludf.DUMMYFUNCTION("INDEX(SPLIT(A2517, ""/""), 0, 2)"),"regex")</f>
        <v>regex</v>
      </c>
      <c r="J2517" s="2" t="b">
        <f t="shared" si="1"/>
        <v>0</v>
      </c>
    </row>
    <row r="2518">
      <c r="A2518" s="1" t="s">
        <v>1872</v>
      </c>
      <c r="B2518" s="3">
        <v>23.0</v>
      </c>
      <c r="C2518" s="3">
        <v>60.0</v>
      </c>
      <c r="D2518" s="3">
        <v>0.0</v>
      </c>
      <c r="E2518" s="3">
        <v>0.0</v>
      </c>
      <c r="F2518" s="3">
        <v>0.0</v>
      </c>
      <c r="G2518" s="3">
        <v>0.0</v>
      </c>
      <c r="H2518" s="3">
        <v>0.0</v>
      </c>
      <c r="I2518" s="2" t="str">
        <f>IFERROR(__xludf.DUMMYFUNCTION("INDEX(SPLIT(A2518, ""/""), 0, 2)"),"regex")</f>
        <v>regex</v>
      </c>
      <c r="J2518" s="2" t="b">
        <f t="shared" si="1"/>
        <v>0</v>
      </c>
    </row>
    <row r="2519">
      <c r="A2519" s="1" t="s">
        <v>1873</v>
      </c>
      <c r="B2519" s="3">
        <v>14.0</v>
      </c>
      <c r="C2519" s="3">
        <v>60.0</v>
      </c>
      <c r="D2519" s="3">
        <v>0.0</v>
      </c>
      <c r="E2519" s="3">
        <v>0.0</v>
      </c>
      <c r="F2519" s="3">
        <v>0.0</v>
      </c>
      <c r="G2519" s="3">
        <v>0.0</v>
      </c>
      <c r="H2519" s="3">
        <v>0.0</v>
      </c>
      <c r="I2519" s="2" t="str">
        <f>IFERROR(__xludf.DUMMYFUNCTION("INDEX(SPLIT(A2519, ""/""), 0, 2)"),"regex")</f>
        <v>regex</v>
      </c>
      <c r="J2519" s="2" t="b">
        <f t="shared" si="1"/>
        <v>0</v>
      </c>
    </row>
    <row r="2520">
      <c r="A2520" s="1" t="s">
        <v>1874</v>
      </c>
      <c r="B2520" s="3">
        <v>4.0</v>
      </c>
      <c r="C2520" s="3">
        <v>60.0</v>
      </c>
      <c r="D2520" s="3">
        <v>0.0</v>
      </c>
      <c r="E2520" s="3">
        <v>0.0</v>
      </c>
      <c r="F2520" s="3">
        <v>0.0</v>
      </c>
      <c r="G2520" s="3">
        <v>0.0</v>
      </c>
      <c r="H2520" s="3">
        <v>0.0</v>
      </c>
      <c r="I2520" s="2" t="str">
        <f>IFERROR(__xludf.DUMMYFUNCTION("INDEX(SPLIT(A2520, ""/""), 0, 2)"),"regex")</f>
        <v>regex</v>
      </c>
      <c r="J2520" s="2" t="b">
        <f t="shared" si="1"/>
        <v>0</v>
      </c>
    </row>
    <row r="2521">
      <c r="A2521" s="1" t="s">
        <v>1875</v>
      </c>
      <c r="B2521" s="3">
        <v>57.0</v>
      </c>
      <c r="C2521" s="3">
        <v>60.0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2" t="str">
        <f>IFERROR(__xludf.DUMMYFUNCTION("INDEX(SPLIT(A2521, ""/""), 0, 2)"),"regex")</f>
        <v>regex</v>
      </c>
      <c r="J2521" s="2" t="b">
        <f t="shared" si="1"/>
        <v>0</v>
      </c>
    </row>
    <row r="2522">
      <c r="A2522" s="1" t="s">
        <v>1876</v>
      </c>
      <c r="B2522" s="3">
        <v>41.0</v>
      </c>
      <c r="C2522" s="3">
        <v>60.0</v>
      </c>
      <c r="D2522" s="3">
        <v>0.0</v>
      </c>
      <c r="E2522" s="3">
        <v>0.0</v>
      </c>
      <c r="F2522" s="3">
        <v>0.0</v>
      </c>
      <c r="G2522" s="3">
        <v>0.0</v>
      </c>
      <c r="H2522" s="3">
        <v>0.0</v>
      </c>
      <c r="I2522" s="2" t="str">
        <f>IFERROR(__xludf.DUMMYFUNCTION("INDEX(SPLIT(A2522, ""/""), 0, 2)"),"regex")</f>
        <v>regex</v>
      </c>
      <c r="J2522" s="2" t="b">
        <f t="shared" si="1"/>
        <v>0</v>
      </c>
    </row>
    <row r="2523">
      <c r="A2523" s="1" t="s">
        <v>1877</v>
      </c>
      <c r="B2523" s="3">
        <v>19.0</v>
      </c>
      <c r="C2523" s="3">
        <v>60.0</v>
      </c>
      <c r="D2523" s="3">
        <v>0.0</v>
      </c>
      <c r="E2523" s="3">
        <v>0.0</v>
      </c>
      <c r="F2523" s="3">
        <v>0.0</v>
      </c>
      <c r="G2523" s="3">
        <v>0.0</v>
      </c>
      <c r="H2523" s="3">
        <v>0.0</v>
      </c>
      <c r="I2523" s="2" t="str">
        <f>IFERROR(__xludf.DUMMYFUNCTION("INDEX(SPLIT(A2523, ""/""), 0, 2)"),"regex")</f>
        <v>regex</v>
      </c>
      <c r="J2523" s="2" t="b">
        <f t="shared" si="1"/>
        <v>0</v>
      </c>
    </row>
    <row r="2524">
      <c r="A2524" s="1" t="s">
        <v>1878</v>
      </c>
      <c r="B2524" s="3">
        <v>9.0</v>
      </c>
      <c r="C2524" s="3">
        <v>60.0</v>
      </c>
      <c r="D2524" s="3">
        <v>0.0</v>
      </c>
      <c r="E2524" s="3">
        <v>0.0</v>
      </c>
      <c r="F2524" s="3">
        <v>0.0</v>
      </c>
      <c r="G2524" s="3">
        <v>0.0</v>
      </c>
      <c r="H2524" s="3">
        <v>0.0</v>
      </c>
      <c r="I2524" s="2" t="str">
        <f>IFERROR(__xludf.DUMMYFUNCTION("INDEX(SPLIT(A2524, ""/""), 0, 2)"),"regex")</f>
        <v>regex</v>
      </c>
      <c r="J2524" s="2" t="b">
        <f t="shared" si="1"/>
        <v>0</v>
      </c>
    </row>
    <row r="2525">
      <c r="A2525" s="1" t="s">
        <v>1879</v>
      </c>
      <c r="B2525" s="3">
        <v>69.0</v>
      </c>
      <c r="C2525" s="3">
        <v>60.0</v>
      </c>
      <c r="D2525" s="3">
        <v>0.0</v>
      </c>
      <c r="E2525" s="3">
        <v>0.0</v>
      </c>
      <c r="F2525" s="3">
        <v>0.0</v>
      </c>
      <c r="G2525" s="3">
        <v>0.0</v>
      </c>
      <c r="H2525" s="3">
        <v>0.0</v>
      </c>
      <c r="I2525" s="2" t="str">
        <f>IFERROR(__xludf.DUMMYFUNCTION("INDEX(SPLIT(A2525, ""/""), 0, 2)"),"regex")</f>
        <v>regex</v>
      </c>
      <c r="J2525" s="2" t="b">
        <f t="shared" si="1"/>
        <v>0</v>
      </c>
    </row>
    <row r="2526">
      <c r="A2526" s="1" t="s">
        <v>1880</v>
      </c>
      <c r="B2526" s="3">
        <v>47.0</v>
      </c>
      <c r="C2526" s="3">
        <v>60.0</v>
      </c>
      <c r="D2526" s="3">
        <v>0.0</v>
      </c>
      <c r="E2526" s="3">
        <v>0.0</v>
      </c>
      <c r="F2526" s="3">
        <v>0.0</v>
      </c>
      <c r="G2526" s="3">
        <v>0.0</v>
      </c>
      <c r="H2526" s="3">
        <v>0.0</v>
      </c>
      <c r="I2526" s="2" t="str">
        <f>IFERROR(__xludf.DUMMYFUNCTION("INDEX(SPLIT(A2526, ""/""), 0, 2)"),"regex")</f>
        <v>regex</v>
      </c>
      <c r="J2526" s="2" t="b">
        <f t="shared" si="1"/>
        <v>0</v>
      </c>
    </row>
    <row r="2527">
      <c r="A2527" s="1" t="s">
        <v>1881</v>
      </c>
      <c r="B2527" s="3">
        <v>131.0</v>
      </c>
      <c r="C2527" s="3">
        <v>60.0</v>
      </c>
      <c r="D2527" s="3">
        <v>0.0</v>
      </c>
      <c r="E2527" s="3">
        <v>0.0</v>
      </c>
      <c r="F2527" s="3">
        <v>0.0</v>
      </c>
      <c r="G2527" s="3">
        <v>0.0</v>
      </c>
      <c r="H2527" s="3">
        <v>0.0</v>
      </c>
      <c r="I2527" s="2" t="str">
        <f>IFERROR(__xludf.DUMMYFUNCTION("INDEX(SPLIT(A2527, ""/""), 0, 2)"),"regex")</f>
        <v>regex</v>
      </c>
      <c r="J2527" s="2" t="b">
        <f t="shared" si="1"/>
        <v>0</v>
      </c>
    </row>
    <row r="2528">
      <c r="A2528" s="1" t="s">
        <v>1882</v>
      </c>
      <c r="B2528" s="3">
        <v>73.0</v>
      </c>
      <c r="C2528" s="3">
        <v>60.0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2" t="str">
        <f>IFERROR(__xludf.DUMMYFUNCTION("INDEX(SPLIT(A2528, ""/""), 0, 2)"),"regex")</f>
        <v>regex</v>
      </c>
      <c r="J2528" s="2" t="b">
        <f t="shared" si="1"/>
        <v>0</v>
      </c>
    </row>
    <row r="2529">
      <c r="A2529" s="1" t="s">
        <v>1883</v>
      </c>
      <c r="B2529" s="3">
        <v>20.0</v>
      </c>
      <c r="C2529" s="3">
        <v>60.0</v>
      </c>
      <c r="D2529" s="3">
        <v>0.0</v>
      </c>
      <c r="E2529" s="3">
        <v>0.0</v>
      </c>
      <c r="F2529" s="3">
        <v>0.0</v>
      </c>
      <c r="G2529" s="3">
        <v>0.0</v>
      </c>
      <c r="H2529" s="3">
        <v>0.0</v>
      </c>
      <c r="I2529" s="2" t="str">
        <f>IFERROR(__xludf.DUMMYFUNCTION("INDEX(SPLIT(A2529, ""/""), 0, 2)"),"regex")</f>
        <v>regex</v>
      </c>
      <c r="J2529" s="2" t="b">
        <f t="shared" si="1"/>
        <v>0</v>
      </c>
    </row>
    <row r="2530">
      <c r="A2530" s="1" t="s">
        <v>1884</v>
      </c>
      <c r="B2530" s="3">
        <v>71.0</v>
      </c>
      <c r="C2530" s="3">
        <v>60.0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2" t="str">
        <f>IFERROR(__xludf.DUMMYFUNCTION("INDEX(SPLIT(A2530, ""/""), 0, 2)"),"regex")</f>
        <v>regex</v>
      </c>
      <c r="J2530" s="2" t="b">
        <f t="shared" si="1"/>
        <v>0</v>
      </c>
    </row>
    <row r="2531">
      <c r="A2531" s="1" t="s">
        <v>1885</v>
      </c>
      <c r="B2531" s="3">
        <v>33.0</v>
      </c>
      <c r="C2531" s="3">
        <v>60.0</v>
      </c>
      <c r="D2531" s="3">
        <v>0.0</v>
      </c>
      <c r="E2531" s="3">
        <v>0.0</v>
      </c>
      <c r="F2531" s="3">
        <v>0.0</v>
      </c>
      <c r="G2531" s="3">
        <v>0.0</v>
      </c>
      <c r="H2531" s="3">
        <v>0.0</v>
      </c>
      <c r="I2531" s="2" t="str">
        <f>IFERROR(__xludf.DUMMYFUNCTION("INDEX(SPLIT(A2531, ""/""), 0, 2)"),"regex")</f>
        <v>regex</v>
      </c>
      <c r="J2531" s="2" t="b">
        <f t="shared" si="1"/>
        <v>0</v>
      </c>
    </row>
    <row r="2532">
      <c r="A2532" s="1" t="s">
        <v>1886</v>
      </c>
      <c r="B2532" s="3">
        <v>4.0</v>
      </c>
      <c r="C2532" s="3">
        <v>60.0</v>
      </c>
      <c r="D2532" s="3">
        <v>0.0</v>
      </c>
      <c r="E2532" s="3">
        <v>0.0</v>
      </c>
      <c r="F2532" s="3">
        <v>0.0</v>
      </c>
      <c r="G2532" s="3">
        <v>0.0</v>
      </c>
      <c r="H2532" s="3">
        <v>0.0</v>
      </c>
      <c r="I2532" s="2" t="str">
        <f>IFERROR(__xludf.DUMMYFUNCTION("INDEX(SPLIT(A2532, ""/""), 0, 2)"),"regex")</f>
        <v>regex</v>
      </c>
      <c r="J2532" s="2" t="b">
        <f t="shared" si="1"/>
        <v>0</v>
      </c>
    </row>
    <row r="2533">
      <c r="A2533" s="1" t="s">
        <v>1887</v>
      </c>
      <c r="B2533" s="3">
        <v>39.0</v>
      </c>
      <c r="C2533" s="3">
        <v>60.0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2" t="str">
        <f>IFERROR(__xludf.DUMMYFUNCTION("INDEX(SPLIT(A2533, ""/""), 0, 2)"),"regex")</f>
        <v>regex</v>
      </c>
      <c r="J2533" s="2" t="b">
        <f t="shared" si="1"/>
        <v>0</v>
      </c>
    </row>
    <row r="2534">
      <c r="A2534" s="1" t="s">
        <v>1888</v>
      </c>
      <c r="B2534" s="3">
        <v>192.0</v>
      </c>
      <c r="C2534" s="3">
        <v>60.0</v>
      </c>
      <c r="D2534" s="3">
        <v>0.0</v>
      </c>
      <c r="E2534" s="3">
        <v>0.0</v>
      </c>
      <c r="F2534" s="3">
        <v>0.0</v>
      </c>
      <c r="G2534" s="3">
        <v>0.0</v>
      </c>
      <c r="H2534" s="3">
        <v>0.0</v>
      </c>
      <c r="I2534" s="2" t="str">
        <f>IFERROR(__xludf.DUMMYFUNCTION("INDEX(SPLIT(A2534, ""/""), 0, 2)"),"regex")</f>
        <v>regex</v>
      </c>
      <c r="J2534" s="2" t="b">
        <f t="shared" si="1"/>
        <v>0</v>
      </c>
    </row>
    <row r="2535">
      <c r="A2535" s="1" t="s">
        <v>1889</v>
      </c>
      <c r="B2535" s="3">
        <v>12.0</v>
      </c>
      <c r="C2535" s="3">
        <v>60.0</v>
      </c>
      <c r="D2535" s="3">
        <v>0.0</v>
      </c>
      <c r="E2535" s="3">
        <v>0.0</v>
      </c>
      <c r="F2535" s="3">
        <v>0.0</v>
      </c>
      <c r="G2535" s="3">
        <v>0.0</v>
      </c>
      <c r="H2535" s="3">
        <v>0.0</v>
      </c>
      <c r="I2535" s="2" t="str">
        <f>IFERROR(__xludf.DUMMYFUNCTION("INDEX(SPLIT(A2535, ""/""), 0, 2)"),"regex")</f>
        <v>regex</v>
      </c>
      <c r="J2535" s="2" t="b">
        <f t="shared" si="1"/>
        <v>0</v>
      </c>
    </row>
    <row r="2536">
      <c r="A2536" s="1" t="s">
        <v>1890</v>
      </c>
      <c r="B2536" s="3">
        <v>26.0</v>
      </c>
      <c r="C2536" s="3">
        <v>60.0</v>
      </c>
      <c r="D2536" s="3">
        <v>0.0</v>
      </c>
      <c r="E2536" s="3">
        <v>0.0</v>
      </c>
      <c r="F2536" s="3">
        <v>0.0</v>
      </c>
      <c r="G2536" s="3">
        <v>0.0</v>
      </c>
      <c r="H2536" s="3">
        <v>0.0</v>
      </c>
      <c r="I2536" s="2" t="str">
        <f>IFERROR(__xludf.DUMMYFUNCTION("INDEX(SPLIT(A2536, ""/""), 0, 2)"),"regex")</f>
        <v>regex</v>
      </c>
      <c r="J2536" s="2" t="b">
        <f t="shared" si="1"/>
        <v>0</v>
      </c>
    </row>
    <row r="2537">
      <c r="A2537" s="1" t="s">
        <v>1891</v>
      </c>
      <c r="B2537" s="3">
        <v>36.0</v>
      </c>
      <c r="C2537" s="3">
        <v>60.0</v>
      </c>
      <c r="D2537" s="3">
        <v>0.0</v>
      </c>
      <c r="E2537" s="3">
        <v>0.0</v>
      </c>
      <c r="F2537" s="3">
        <v>0.0</v>
      </c>
      <c r="G2537" s="3">
        <v>0.0</v>
      </c>
      <c r="H2537" s="3">
        <v>0.0</v>
      </c>
      <c r="I2537" s="2" t="str">
        <f>IFERROR(__xludf.DUMMYFUNCTION("INDEX(SPLIT(A2537, ""/""), 0, 2)"),"regex")</f>
        <v>regex</v>
      </c>
      <c r="J2537" s="2" t="b">
        <f t="shared" si="1"/>
        <v>0</v>
      </c>
    </row>
    <row r="2538">
      <c r="A2538" s="1" t="s">
        <v>1892</v>
      </c>
      <c r="B2538" s="3">
        <v>163.0</v>
      </c>
      <c r="C2538" s="3">
        <v>60.0</v>
      </c>
      <c r="D2538" s="3">
        <v>0.0</v>
      </c>
      <c r="E2538" s="3">
        <v>0.0</v>
      </c>
      <c r="F2538" s="3">
        <v>0.0</v>
      </c>
      <c r="G2538" s="3">
        <v>0.0</v>
      </c>
      <c r="H2538" s="3">
        <v>0.0</v>
      </c>
      <c r="I2538" s="2" t="str">
        <f>IFERROR(__xludf.DUMMYFUNCTION("INDEX(SPLIT(A2538, ""/""), 0, 2)"),"regex")</f>
        <v>regex</v>
      </c>
      <c r="J2538" s="2" t="b">
        <f t="shared" si="1"/>
        <v>0</v>
      </c>
    </row>
    <row r="2539">
      <c r="A2539" s="1" t="s">
        <v>1893</v>
      </c>
      <c r="B2539" s="3">
        <v>22.0</v>
      </c>
      <c r="C2539" s="3">
        <v>60.0</v>
      </c>
      <c r="D2539" s="3">
        <v>0.0</v>
      </c>
      <c r="E2539" s="3">
        <v>0.0</v>
      </c>
      <c r="F2539" s="3">
        <v>0.0</v>
      </c>
      <c r="G2539" s="3">
        <v>0.0</v>
      </c>
      <c r="H2539" s="3">
        <v>0.0</v>
      </c>
      <c r="I2539" s="2" t="str">
        <f>IFERROR(__xludf.DUMMYFUNCTION("INDEX(SPLIT(A2539, ""/""), 0, 2)"),"regex")</f>
        <v>regex</v>
      </c>
      <c r="J2539" s="2" t="b">
        <f t="shared" si="1"/>
        <v>0</v>
      </c>
    </row>
    <row r="2540">
      <c r="A2540" s="1" t="s">
        <v>1894</v>
      </c>
      <c r="B2540" s="3">
        <v>40.0</v>
      </c>
      <c r="C2540" s="3">
        <v>60.0</v>
      </c>
      <c r="D2540" s="3">
        <v>0.0</v>
      </c>
      <c r="E2540" s="3">
        <v>0.0</v>
      </c>
      <c r="F2540" s="3">
        <v>0.0</v>
      </c>
      <c r="G2540" s="3">
        <v>0.0</v>
      </c>
      <c r="H2540" s="3">
        <v>0.0</v>
      </c>
      <c r="I2540" s="2" t="str">
        <f>IFERROR(__xludf.DUMMYFUNCTION("INDEX(SPLIT(A2540, ""/""), 0, 2)"),"regex")</f>
        <v>regex</v>
      </c>
      <c r="J2540" s="2" t="b">
        <f t="shared" si="1"/>
        <v>0</v>
      </c>
    </row>
    <row r="2541">
      <c r="A2541" s="1" t="s">
        <v>1895</v>
      </c>
      <c r="B2541" s="3">
        <v>3.0</v>
      </c>
      <c r="C2541" s="3">
        <v>60.0</v>
      </c>
      <c r="D2541" s="3">
        <v>0.0</v>
      </c>
      <c r="E2541" s="3">
        <v>0.0</v>
      </c>
      <c r="F2541" s="3">
        <v>0.0</v>
      </c>
      <c r="G2541" s="3">
        <v>0.0</v>
      </c>
      <c r="H2541" s="3">
        <v>0.0</v>
      </c>
      <c r="I2541" s="2" t="str">
        <f>IFERROR(__xludf.DUMMYFUNCTION("INDEX(SPLIT(A2541, ""/""), 0, 2)"),"regex")</f>
        <v>regex</v>
      </c>
      <c r="J2541" s="2" t="b">
        <f t="shared" si="1"/>
        <v>0</v>
      </c>
    </row>
    <row r="2542">
      <c r="A2542" s="1" t="s">
        <v>1896</v>
      </c>
      <c r="B2542" s="3">
        <v>3.0</v>
      </c>
      <c r="C2542" s="3">
        <v>60.0</v>
      </c>
      <c r="D2542" s="3">
        <v>0.0</v>
      </c>
      <c r="E2542" s="3">
        <v>0.0</v>
      </c>
      <c r="F2542" s="3">
        <v>0.0</v>
      </c>
      <c r="G2542" s="3">
        <v>0.0</v>
      </c>
      <c r="H2542" s="3">
        <v>0.0</v>
      </c>
      <c r="I2542" s="2" t="str">
        <f>IFERROR(__xludf.DUMMYFUNCTION("INDEX(SPLIT(A2542, ""/""), 0, 2)"),"regex")</f>
        <v>regex</v>
      </c>
      <c r="J2542" s="2" t="b">
        <f t="shared" si="1"/>
        <v>0</v>
      </c>
    </row>
    <row r="2543">
      <c r="A2543" s="1" t="s">
        <v>1897</v>
      </c>
      <c r="B2543" s="3">
        <v>38.0</v>
      </c>
      <c r="C2543" s="3">
        <v>60.0</v>
      </c>
      <c r="D2543" s="3">
        <v>0.0</v>
      </c>
      <c r="E2543" s="3">
        <v>0.0</v>
      </c>
      <c r="F2543" s="3">
        <v>0.0</v>
      </c>
      <c r="G2543" s="3">
        <v>0.0</v>
      </c>
      <c r="H2543" s="3">
        <v>0.0</v>
      </c>
      <c r="I2543" s="2" t="str">
        <f>IFERROR(__xludf.DUMMYFUNCTION("INDEX(SPLIT(A2543, ""/""), 0, 2)"),"regex")</f>
        <v>regex</v>
      </c>
      <c r="J2543" s="2" t="b">
        <f t="shared" si="1"/>
        <v>0</v>
      </c>
    </row>
    <row r="2544">
      <c r="A2544" s="1" t="s">
        <v>1898</v>
      </c>
      <c r="B2544" s="3">
        <v>10.0</v>
      </c>
      <c r="C2544" s="3">
        <v>60.0</v>
      </c>
      <c r="D2544" s="3">
        <v>0.0</v>
      </c>
      <c r="E2544" s="3">
        <v>0.0</v>
      </c>
      <c r="F2544" s="3">
        <v>0.0</v>
      </c>
      <c r="G2544" s="3">
        <v>0.0</v>
      </c>
      <c r="H2544" s="3">
        <v>0.0</v>
      </c>
      <c r="I2544" s="2" t="str">
        <f>IFERROR(__xludf.DUMMYFUNCTION("INDEX(SPLIT(A2544, ""/""), 0, 2)"),"regex")</f>
        <v>regex</v>
      </c>
      <c r="J2544" s="2" t="b">
        <f t="shared" si="1"/>
        <v>0</v>
      </c>
    </row>
    <row r="2545">
      <c r="A2545" s="1" t="s">
        <v>1899</v>
      </c>
      <c r="B2545" s="3">
        <v>67.0</v>
      </c>
      <c r="C2545" s="3">
        <v>60.0</v>
      </c>
      <c r="D2545" s="3">
        <v>0.0</v>
      </c>
      <c r="E2545" s="3">
        <v>0.0</v>
      </c>
      <c r="F2545" s="3">
        <v>0.0</v>
      </c>
      <c r="G2545" s="3">
        <v>0.0</v>
      </c>
      <c r="H2545" s="3">
        <v>0.0</v>
      </c>
      <c r="I2545" s="2" t="str">
        <f>IFERROR(__xludf.DUMMYFUNCTION("INDEX(SPLIT(A2545, ""/""), 0, 2)"),"regex")</f>
        <v>regex</v>
      </c>
      <c r="J2545" s="2" t="b">
        <f t="shared" si="1"/>
        <v>0</v>
      </c>
    </row>
    <row r="2546">
      <c r="A2546" s="1" t="s">
        <v>1900</v>
      </c>
      <c r="B2546" s="3">
        <v>10.0</v>
      </c>
      <c r="C2546" s="3">
        <v>60.0</v>
      </c>
      <c r="D2546" s="3">
        <v>0.0</v>
      </c>
      <c r="E2546" s="3">
        <v>0.0</v>
      </c>
      <c r="F2546" s="3">
        <v>0.0</v>
      </c>
      <c r="G2546" s="3">
        <v>0.0</v>
      </c>
      <c r="H2546" s="3">
        <v>0.0</v>
      </c>
      <c r="I2546" s="2" t="str">
        <f>IFERROR(__xludf.DUMMYFUNCTION("INDEX(SPLIT(A2546, ""/""), 0, 2)"),"regex")</f>
        <v>regex</v>
      </c>
      <c r="J2546" s="2" t="b">
        <f t="shared" si="1"/>
        <v>0</v>
      </c>
    </row>
    <row r="2547">
      <c r="A2547" s="1" t="s">
        <v>1901</v>
      </c>
      <c r="B2547" s="3">
        <v>19.0</v>
      </c>
      <c r="C2547" s="3">
        <v>60.0</v>
      </c>
      <c r="D2547" s="3">
        <v>0.0</v>
      </c>
      <c r="E2547" s="3">
        <v>0.0</v>
      </c>
      <c r="F2547" s="3">
        <v>0.0</v>
      </c>
      <c r="G2547" s="3">
        <v>0.0</v>
      </c>
      <c r="H2547" s="3">
        <v>0.0</v>
      </c>
      <c r="I2547" s="2" t="str">
        <f>IFERROR(__xludf.DUMMYFUNCTION("INDEX(SPLIT(A2547, ""/""), 0, 2)"),"regex")</f>
        <v>regex</v>
      </c>
      <c r="J2547" s="2" t="b">
        <f t="shared" si="1"/>
        <v>0</v>
      </c>
    </row>
    <row r="2548">
      <c r="A2548" s="1" t="s">
        <v>1902</v>
      </c>
      <c r="B2548" s="3">
        <v>4.0</v>
      </c>
      <c r="C2548" s="3">
        <v>60.0</v>
      </c>
      <c r="D2548" s="3">
        <v>0.0</v>
      </c>
      <c r="E2548" s="3">
        <v>0.0</v>
      </c>
      <c r="F2548" s="3">
        <v>0.0</v>
      </c>
      <c r="G2548" s="3">
        <v>0.0</v>
      </c>
      <c r="H2548" s="3">
        <v>0.0</v>
      </c>
      <c r="I2548" s="2" t="str">
        <f>IFERROR(__xludf.DUMMYFUNCTION("INDEX(SPLIT(A2548, ""/""), 0, 2)"),"regex")</f>
        <v>regex</v>
      </c>
      <c r="J2548" s="2" t="b">
        <f t="shared" si="1"/>
        <v>0</v>
      </c>
    </row>
    <row r="2549">
      <c r="A2549" s="1" t="s">
        <v>1903</v>
      </c>
      <c r="B2549" s="3">
        <v>117.0</v>
      </c>
      <c r="C2549" s="3">
        <v>60.0</v>
      </c>
      <c r="D2549" s="3">
        <v>0.0</v>
      </c>
      <c r="E2549" s="3">
        <v>0.0</v>
      </c>
      <c r="F2549" s="3">
        <v>0.0</v>
      </c>
      <c r="G2549" s="3">
        <v>0.0</v>
      </c>
      <c r="H2549" s="3">
        <v>0.0</v>
      </c>
      <c r="I2549" s="2" t="str">
        <f>IFERROR(__xludf.DUMMYFUNCTION("INDEX(SPLIT(A2549, ""/""), 0, 2)"),"regex")</f>
        <v>regex</v>
      </c>
      <c r="J2549" s="2" t="b">
        <f t="shared" si="1"/>
        <v>0</v>
      </c>
    </row>
    <row r="2550">
      <c r="A2550" s="1" t="s">
        <v>1904</v>
      </c>
      <c r="B2550" s="3">
        <v>81.0</v>
      </c>
      <c r="C2550" s="3">
        <v>60.0</v>
      </c>
      <c r="D2550" s="3">
        <v>0.0</v>
      </c>
      <c r="E2550" s="3">
        <v>0.0</v>
      </c>
      <c r="F2550" s="3">
        <v>0.0</v>
      </c>
      <c r="G2550" s="3">
        <v>0.0</v>
      </c>
      <c r="H2550" s="3">
        <v>0.0</v>
      </c>
      <c r="I2550" s="2" t="str">
        <f>IFERROR(__xludf.DUMMYFUNCTION("INDEX(SPLIT(A2550, ""/""), 0, 2)"),"regex")</f>
        <v>regex</v>
      </c>
      <c r="J2550" s="2" t="b">
        <f t="shared" si="1"/>
        <v>0</v>
      </c>
    </row>
    <row r="2551">
      <c r="A2551" s="1" t="s">
        <v>1905</v>
      </c>
      <c r="B2551" s="3">
        <v>38.0</v>
      </c>
      <c r="C2551" s="3">
        <v>60.0</v>
      </c>
      <c r="D2551" s="3">
        <v>0.0</v>
      </c>
      <c r="E2551" s="3">
        <v>0.0</v>
      </c>
      <c r="F2551" s="3">
        <v>0.0</v>
      </c>
      <c r="G2551" s="3">
        <v>0.0</v>
      </c>
      <c r="H2551" s="3">
        <v>0.0</v>
      </c>
      <c r="I2551" s="2" t="str">
        <f>IFERROR(__xludf.DUMMYFUNCTION("INDEX(SPLIT(A2551, ""/""), 0, 2)"),"regex")</f>
        <v>regex</v>
      </c>
      <c r="J2551" s="2" t="b">
        <f t="shared" si="1"/>
        <v>0</v>
      </c>
    </row>
    <row r="2552">
      <c r="A2552" s="1" t="s">
        <v>1906</v>
      </c>
      <c r="B2552" s="3">
        <v>19.0</v>
      </c>
      <c r="C2552" s="3">
        <v>60.0</v>
      </c>
      <c r="D2552" s="3">
        <v>0.0</v>
      </c>
      <c r="E2552" s="3">
        <v>0.0</v>
      </c>
      <c r="F2552" s="3">
        <v>0.0</v>
      </c>
      <c r="G2552" s="3">
        <v>0.0</v>
      </c>
      <c r="H2552" s="3">
        <v>0.0</v>
      </c>
      <c r="I2552" s="2" t="str">
        <f>IFERROR(__xludf.DUMMYFUNCTION("INDEX(SPLIT(A2552, ""/""), 0, 2)"),"regex")</f>
        <v>regex</v>
      </c>
      <c r="J2552" s="2" t="b">
        <f t="shared" si="1"/>
        <v>0</v>
      </c>
    </row>
    <row r="2553">
      <c r="A2553" s="1" t="s">
        <v>1907</v>
      </c>
      <c r="B2553" s="3">
        <v>15.0</v>
      </c>
      <c r="C2553" s="3">
        <v>60.0</v>
      </c>
      <c r="D2553" s="3">
        <v>0.0</v>
      </c>
      <c r="E2553" s="3">
        <v>0.0</v>
      </c>
      <c r="F2553" s="3">
        <v>0.0</v>
      </c>
      <c r="G2553" s="3">
        <v>0.0</v>
      </c>
      <c r="H2553" s="3">
        <v>0.0</v>
      </c>
      <c r="I2553" s="2" t="str">
        <f>IFERROR(__xludf.DUMMYFUNCTION("INDEX(SPLIT(A2553, ""/""), 0, 2)"),"regex")</f>
        <v>regex</v>
      </c>
      <c r="J2553" s="2" t="b">
        <f t="shared" si="1"/>
        <v>0</v>
      </c>
    </row>
    <row r="2554">
      <c r="A2554" s="1" t="s">
        <v>1908</v>
      </c>
      <c r="B2554" s="3">
        <v>63.0</v>
      </c>
      <c r="C2554" s="3">
        <v>60.0</v>
      </c>
      <c r="D2554" s="3">
        <v>0.0</v>
      </c>
      <c r="E2554" s="3">
        <v>0.0</v>
      </c>
      <c r="F2554" s="3">
        <v>0.0</v>
      </c>
      <c r="G2554" s="3">
        <v>0.0</v>
      </c>
      <c r="H2554" s="3">
        <v>0.0</v>
      </c>
      <c r="I2554" s="2" t="str">
        <f>IFERROR(__xludf.DUMMYFUNCTION("INDEX(SPLIT(A2554, ""/""), 0, 2)"),"regex")</f>
        <v>regex</v>
      </c>
      <c r="J2554" s="2" t="b">
        <f t="shared" si="1"/>
        <v>0</v>
      </c>
    </row>
    <row r="2555">
      <c r="A2555" s="1" t="s">
        <v>1909</v>
      </c>
      <c r="B2555" s="3">
        <v>96.0</v>
      </c>
      <c r="C2555" s="3">
        <v>60.0</v>
      </c>
      <c r="D2555" s="3">
        <v>0.0</v>
      </c>
      <c r="E2555" s="3">
        <v>0.0</v>
      </c>
      <c r="F2555" s="3">
        <v>0.0</v>
      </c>
      <c r="G2555" s="3">
        <v>0.0</v>
      </c>
      <c r="H2555" s="3">
        <v>0.0</v>
      </c>
      <c r="I2555" s="2" t="str">
        <f>IFERROR(__xludf.DUMMYFUNCTION("INDEX(SPLIT(A2555, ""/""), 0, 2)"),"regex")</f>
        <v>regex</v>
      </c>
      <c r="J2555" s="2" t="b">
        <f t="shared" si="1"/>
        <v>0</v>
      </c>
    </row>
    <row r="2556">
      <c r="A2556" s="1" t="s">
        <v>1910</v>
      </c>
      <c r="B2556" s="3">
        <v>26.0</v>
      </c>
      <c r="C2556" s="3">
        <v>60.0</v>
      </c>
      <c r="D2556" s="3">
        <v>0.0</v>
      </c>
      <c r="E2556" s="3">
        <v>0.0</v>
      </c>
      <c r="F2556" s="3">
        <v>0.0</v>
      </c>
      <c r="G2556" s="3">
        <v>0.0</v>
      </c>
      <c r="H2556" s="3">
        <v>0.0</v>
      </c>
      <c r="I2556" s="2" t="str">
        <f>IFERROR(__xludf.DUMMYFUNCTION("INDEX(SPLIT(A2556, ""/""), 0, 2)"),"regex")</f>
        <v>regex</v>
      </c>
      <c r="J2556" s="2" t="b">
        <f t="shared" si="1"/>
        <v>0</v>
      </c>
    </row>
    <row r="2557">
      <c r="A2557" s="1" t="s">
        <v>1911</v>
      </c>
      <c r="B2557" s="3">
        <v>192.0</v>
      </c>
      <c r="C2557" s="3">
        <v>60.0</v>
      </c>
      <c r="D2557" s="3">
        <v>0.0</v>
      </c>
      <c r="E2557" s="3">
        <v>0.0</v>
      </c>
      <c r="F2557" s="3">
        <v>0.0</v>
      </c>
      <c r="G2557" s="3">
        <v>0.0</v>
      </c>
      <c r="H2557" s="3">
        <v>0.0</v>
      </c>
      <c r="I2557" s="2" t="str">
        <f>IFERROR(__xludf.DUMMYFUNCTION("INDEX(SPLIT(A2557, ""/""), 0, 2)"),"regex")</f>
        <v>regex</v>
      </c>
      <c r="J2557" s="2" t="b">
        <f t="shared" si="1"/>
        <v>0</v>
      </c>
    </row>
    <row r="2558">
      <c r="A2558" s="1" t="s">
        <v>1912</v>
      </c>
      <c r="B2558" s="3">
        <v>12.0</v>
      </c>
      <c r="C2558" s="3">
        <v>60.0</v>
      </c>
      <c r="D2558" s="3">
        <v>0.0</v>
      </c>
      <c r="E2558" s="3">
        <v>0.0</v>
      </c>
      <c r="F2558" s="3">
        <v>0.0</v>
      </c>
      <c r="G2558" s="3">
        <v>0.0</v>
      </c>
      <c r="H2558" s="3">
        <v>0.0</v>
      </c>
      <c r="I2558" s="2" t="str">
        <f>IFERROR(__xludf.DUMMYFUNCTION("INDEX(SPLIT(A2558, ""/""), 0, 2)"),"regex")</f>
        <v>regex</v>
      </c>
      <c r="J2558" s="2" t="b">
        <f t="shared" si="1"/>
        <v>0</v>
      </c>
    </row>
    <row r="2559">
      <c r="A2559" s="1" t="s">
        <v>1913</v>
      </c>
      <c r="B2559" s="3">
        <v>9.0</v>
      </c>
      <c r="C2559" s="3">
        <v>60.0</v>
      </c>
      <c r="D2559" s="3">
        <v>0.0</v>
      </c>
      <c r="E2559" s="3">
        <v>0.0</v>
      </c>
      <c r="F2559" s="3">
        <v>0.0</v>
      </c>
      <c r="G2559" s="3">
        <v>0.0</v>
      </c>
      <c r="H2559" s="3">
        <v>0.0</v>
      </c>
      <c r="I2559" s="2" t="str">
        <f>IFERROR(__xludf.DUMMYFUNCTION("INDEX(SPLIT(A2559, ""/""), 0, 2)"),"regex")</f>
        <v>regex</v>
      </c>
      <c r="J2559" s="2" t="b">
        <f t="shared" si="1"/>
        <v>0</v>
      </c>
    </row>
    <row r="2560">
      <c r="A2560" s="1" t="s">
        <v>1914</v>
      </c>
      <c r="B2560" s="3">
        <v>1597.0</v>
      </c>
      <c r="C2560" s="3">
        <v>60.0</v>
      </c>
      <c r="D2560" s="3">
        <v>28.0</v>
      </c>
      <c r="E2560" s="3">
        <v>0.0</v>
      </c>
      <c r="F2560" s="3">
        <v>1.0</v>
      </c>
      <c r="G2560" s="3">
        <v>1.0</v>
      </c>
      <c r="H2560" s="3">
        <v>0.0</v>
      </c>
      <c r="I2560" s="2" t="str">
        <f>IFERROR(__xludf.DUMMYFUNCTION("INDEX(SPLIT(A2560, ""/""), 0, 2)"),"regex")</f>
        <v>regex</v>
      </c>
      <c r="J2560" s="2" t="b">
        <f t="shared" si="1"/>
        <v>1</v>
      </c>
    </row>
    <row r="2561">
      <c r="A2561" s="1" t="s">
        <v>1915</v>
      </c>
      <c r="B2561" s="3">
        <v>468.0</v>
      </c>
      <c r="C2561" s="3">
        <v>60.0</v>
      </c>
      <c r="D2561" s="3">
        <v>5.0</v>
      </c>
      <c r="E2561" s="3">
        <v>0.0</v>
      </c>
      <c r="F2561" s="3">
        <v>1.0</v>
      </c>
      <c r="G2561" s="3">
        <v>1.0</v>
      </c>
      <c r="H2561" s="3">
        <v>0.0</v>
      </c>
      <c r="I2561" s="2" t="str">
        <f>IFERROR(__xludf.DUMMYFUNCTION("INDEX(SPLIT(A2561, ""/""), 0, 2)"),"regex")</f>
        <v>regex</v>
      </c>
      <c r="J2561" s="2" t="b">
        <f t="shared" si="1"/>
        <v>0</v>
      </c>
    </row>
    <row r="2562">
      <c r="A2562" s="1" t="s">
        <v>1916</v>
      </c>
      <c r="B2562" s="3">
        <v>16.0</v>
      </c>
      <c r="C2562" s="3">
        <v>60.0</v>
      </c>
      <c r="D2562" s="3">
        <v>0.0</v>
      </c>
      <c r="E2562" s="3">
        <v>0.0</v>
      </c>
      <c r="F2562" s="3">
        <v>0.0</v>
      </c>
      <c r="G2562" s="3">
        <v>0.0</v>
      </c>
      <c r="H2562" s="3">
        <v>0.0</v>
      </c>
      <c r="I2562" s="2" t="str">
        <f>IFERROR(__xludf.DUMMYFUNCTION("INDEX(SPLIT(A2562, ""/""), 0, 2)"),"regex")</f>
        <v>regex</v>
      </c>
      <c r="J2562" s="2" t="b">
        <f t="shared" si="1"/>
        <v>0</v>
      </c>
    </row>
    <row r="2563">
      <c r="A2563" s="1" t="s">
        <v>1917</v>
      </c>
      <c r="B2563" s="3">
        <v>34.0</v>
      </c>
      <c r="C2563" s="3">
        <v>60.0</v>
      </c>
      <c r="D2563" s="3">
        <v>0.0</v>
      </c>
      <c r="E2563" s="3">
        <v>0.0</v>
      </c>
      <c r="F2563" s="3">
        <v>0.0</v>
      </c>
      <c r="G2563" s="3">
        <v>0.0</v>
      </c>
      <c r="H2563" s="3">
        <v>0.0</v>
      </c>
      <c r="I2563" s="2" t="str">
        <f>IFERROR(__xludf.DUMMYFUNCTION("INDEX(SPLIT(A2563, ""/""), 0, 2)"),"regex")</f>
        <v>regex</v>
      </c>
      <c r="J2563" s="2" t="b">
        <f t="shared" si="1"/>
        <v>0</v>
      </c>
    </row>
    <row r="2564">
      <c r="A2564" s="1" t="s">
        <v>1918</v>
      </c>
      <c r="B2564" s="3">
        <v>11.0</v>
      </c>
      <c r="C2564" s="3">
        <v>60.0</v>
      </c>
      <c r="D2564" s="3">
        <v>0.0</v>
      </c>
      <c r="E2564" s="3">
        <v>0.0</v>
      </c>
      <c r="F2564" s="3">
        <v>0.0</v>
      </c>
      <c r="G2564" s="3">
        <v>0.0</v>
      </c>
      <c r="H2564" s="3">
        <v>0.0</v>
      </c>
      <c r="I2564" s="2" t="str">
        <f>IFERROR(__xludf.DUMMYFUNCTION("INDEX(SPLIT(A2564, ""/""), 0, 2)"),"regex")</f>
        <v>regex</v>
      </c>
      <c r="J2564" s="2" t="b">
        <f t="shared" si="1"/>
        <v>0</v>
      </c>
    </row>
    <row r="2565">
      <c r="A2565" s="1" t="s">
        <v>1919</v>
      </c>
      <c r="B2565" s="3">
        <v>76.0</v>
      </c>
      <c r="C2565" s="3">
        <v>60.0</v>
      </c>
      <c r="D2565" s="3">
        <v>0.0</v>
      </c>
      <c r="E2565" s="3">
        <v>0.0</v>
      </c>
      <c r="F2565" s="3">
        <v>0.0</v>
      </c>
      <c r="G2565" s="3">
        <v>0.0</v>
      </c>
      <c r="H2565" s="3">
        <v>0.0</v>
      </c>
      <c r="I2565" s="2" t="str">
        <f>IFERROR(__xludf.DUMMYFUNCTION("INDEX(SPLIT(A2565, ""/""), 0, 2)"),"regex")</f>
        <v>regex</v>
      </c>
      <c r="J2565" s="2" t="b">
        <f t="shared" si="1"/>
        <v>0</v>
      </c>
    </row>
    <row r="2566">
      <c r="A2566" s="1" t="s">
        <v>1920</v>
      </c>
      <c r="B2566" s="3">
        <v>44.0</v>
      </c>
      <c r="C2566" s="3">
        <v>60.0</v>
      </c>
      <c r="D2566" s="3">
        <v>0.0</v>
      </c>
      <c r="E2566" s="3">
        <v>0.0</v>
      </c>
      <c r="F2566" s="3">
        <v>0.0</v>
      </c>
      <c r="G2566" s="3">
        <v>0.0</v>
      </c>
      <c r="H2566" s="3">
        <v>0.0</v>
      </c>
      <c r="I2566" s="2" t="str">
        <f>IFERROR(__xludf.DUMMYFUNCTION("INDEX(SPLIT(A2566, ""/""), 0, 2)"),"regex")</f>
        <v>regex</v>
      </c>
      <c r="J2566" s="2" t="b">
        <f t="shared" si="1"/>
        <v>0</v>
      </c>
    </row>
    <row r="2567">
      <c r="A2567" s="1" t="s">
        <v>1921</v>
      </c>
      <c r="B2567" s="3">
        <v>131.0</v>
      </c>
      <c r="C2567" s="3">
        <v>60.0</v>
      </c>
      <c r="D2567" s="3">
        <v>0.0</v>
      </c>
      <c r="E2567" s="3">
        <v>0.0</v>
      </c>
      <c r="F2567" s="3">
        <v>0.0</v>
      </c>
      <c r="G2567" s="3">
        <v>0.0</v>
      </c>
      <c r="H2567" s="3">
        <v>0.0</v>
      </c>
      <c r="I2567" s="2" t="str">
        <f>IFERROR(__xludf.DUMMYFUNCTION("INDEX(SPLIT(A2567, ""/""), 0, 2)"),"regex")</f>
        <v>regex</v>
      </c>
      <c r="J2567" s="2" t="b">
        <f t="shared" si="1"/>
        <v>0</v>
      </c>
    </row>
    <row r="2568">
      <c r="A2568" s="1" t="s">
        <v>1922</v>
      </c>
      <c r="B2568" s="3">
        <v>79.0</v>
      </c>
      <c r="C2568" s="3">
        <v>60.0</v>
      </c>
      <c r="D2568" s="3">
        <v>0.0</v>
      </c>
      <c r="E2568" s="3">
        <v>0.0</v>
      </c>
      <c r="F2568" s="3">
        <v>0.0</v>
      </c>
      <c r="G2568" s="3">
        <v>0.0</v>
      </c>
      <c r="H2568" s="3">
        <v>0.0</v>
      </c>
      <c r="I2568" s="2" t="str">
        <f>IFERROR(__xludf.DUMMYFUNCTION("INDEX(SPLIT(A2568, ""/""), 0, 2)"),"regex")</f>
        <v>regex</v>
      </c>
      <c r="J2568" s="2" t="b">
        <f t="shared" si="1"/>
        <v>0</v>
      </c>
    </row>
    <row r="2569">
      <c r="A2569" s="1" t="s">
        <v>1923</v>
      </c>
      <c r="B2569" s="3">
        <v>766.0</v>
      </c>
      <c r="C2569" s="3">
        <v>60.0</v>
      </c>
      <c r="D2569" s="3">
        <v>0.0</v>
      </c>
      <c r="E2569" s="3">
        <v>0.0</v>
      </c>
      <c r="F2569" s="3">
        <v>0.0</v>
      </c>
      <c r="G2569" s="3">
        <v>0.0</v>
      </c>
      <c r="H2569" s="3">
        <v>0.0</v>
      </c>
      <c r="I2569" s="2" t="str">
        <f>IFERROR(__xludf.DUMMYFUNCTION("INDEX(SPLIT(A2569, ""/""), 0, 2)"),"regex")</f>
        <v>regex</v>
      </c>
      <c r="J2569" s="2" t="b">
        <f t="shared" si="1"/>
        <v>0</v>
      </c>
    </row>
    <row r="2570">
      <c r="A2570" s="1" t="s">
        <v>1924</v>
      </c>
      <c r="B2570" s="3">
        <v>9.0</v>
      </c>
      <c r="C2570" s="3">
        <v>60.0</v>
      </c>
      <c r="D2570" s="3">
        <v>0.0</v>
      </c>
      <c r="E2570" s="3">
        <v>0.0</v>
      </c>
      <c r="F2570" s="3">
        <v>0.0</v>
      </c>
      <c r="G2570" s="3">
        <v>0.0</v>
      </c>
      <c r="H2570" s="3">
        <v>0.0</v>
      </c>
      <c r="I2570" s="2" t="str">
        <f>IFERROR(__xludf.DUMMYFUNCTION("INDEX(SPLIT(A2570, ""/""), 0, 2)"),"regex")</f>
        <v>regex</v>
      </c>
      <c r="J2570" s="2" t="b">
        <f t="shared" si="1"/>
        <v>0</v>
      </c>
    </row>
    <row r="2571">
      <c r="A2571" s="1" t="s">
        <v>1925</v>
      </c>
      <c r="B2571" s="3">
        <v>25.0</v>
      </c>
      <c r="C2571" s="3">
        <v>60.0</v>
      </c>
      <c r="D2571" s="3">
        <v>0.0</v>
      </c>
      <c r="E2571" s="3">
        <v>0.0</v>
      </c>
      <c r="F2571" s="3">
        <v>0.0</v>
      </c>
      <c r="G2571" s="3">
        <v>0.0</v>
      </c>
      <c r="H2571" s="3">
        <v>0.0</v>
      </c>
      <c r="I2571" s="2" t="str">
        <f>IFERROR(__xludf.DUMMYFUNCTION("INDEX(SPLIT(A2571, ""/""), 0, 2)"),"regex")</f>
        <v>regex</v>
      </c>
      <c r="J2571" s="2" t="b">
        <f t="shared" si="1"/>
        <v>0</v>
      </c>
    </row>
    <row r="2572">
      <c r="A2572" s="1" t="s">
        <v>1926</v>
      </c>
      <c r="B2572" s="3">
        <v>64.0</v>
      </c>
      <c r="C2572" s="3">
        <v>60.0</v>
      </c>
      <c r="D2572" s="3">
        <v>0.0</v>
      </c>
      <c r="E2572" s="3">
        <v>0.0</v>
      </c>
      <c r="F2572" s="3">
        <v>0.0</v>
      </c>
      <c r="G2572" s="3">
        <v>0.0</v>
      </c>
      <c r="H2572" s="3">
        <v>0.0</v>
      </c>
      <c r="I2572" s="2" t="str">
        <f>IFERROR(__xludf.DUMMYFUNCTION("INDEX(SPLIT(A2572, ""/""), 0, 2)"),"regex")</f>
        <v>regex</v>
      </c>
      <c r="J2572" s="2" t="b">
        <f t="shared" si="1"/>
        <v>0</v>
      </c>
    </row>
    <row r="2573">
      <c r="A2573" s="1" t="s">
        <v>1927</v>
      </c>
      <c r="B2573" s="3">
        <v>189.0</v>
      </c>
      <c r="C2573" s="3">
        <v>60.0</v>
      </c>
      <c r="D2573" s="3">
        <v>0.0</v>
      </c>
      <c r="E2573" s="3">
        <v>0.0</v>
      </c>
      <c r="F2573" s="3">
        <v>0.0</v>
      </c>
      <c r="G2573" s="3">
        <v>0.0</v>
      </c>
      <c r="H2573" s="3">
        <v>0.0</v>
      </c>
      <c r="I2573" s="2" t="str">
        <f>IFERROR(__xludf.DUMMYFUNCTION("INDEX(SPLIT(A2573, ""/""), 0, 2)"),"regex")</f>
        <v>regex</v>
      </c>
      <c r="J2573" s="2" t="b">
        <f t="shared" si="1"/>
        <v>0</v>
      </c>
    </row>
    <row r="2574">
      <c r="A2574" s="1" t="s">
        <v>1928</v>
      </c>
      <c r="B2574" s="3">
        <v>222.0</v>
      </c>
      <c r="C2574" s="3">
        <v>60.0</v>
      </c>
      <c r="D2574" s="3">
        <v>1.0</v>
      </c>
      <c r="E2574" s="3">
        <v>0.0</v>
      </c>
      <c r="F2574" s="3">
        <v>0.0</v>
      </c>
      <c r="G2574" s="3">
        <v>0.0</v>
      </c>
      <c r="H2574" s="3">
        <v>0.0</v>
      </c>
      <c r="I2574" s="2" t="str">
        <f>IFERROR(__xludf.DUMMYFUNCTION("INDEX(SPLIT(A2574, ""/""), 0, 2)"),"regex")</f>
        <v>regex</v>
      </c>
      <c r="J2574" s="2" t="b">
        <f t="shared" si="1"/>
        <v>0</v>
      </c>
    </row>
    <row r="2575">
      <c r="A2575" s="1" t="s">
        <v>1929</v>
      </c>
      <c r="B2575" s="3">
        <v>104.0</v>
      </c>
      <c r="C2575" s="3">
        <v>60.0</v>
      </c>
      <c r="D2575" s="3">
        <v>0.0</v>
      </c>
      <c r="E2575" s="3">
        <v>0.0</v>
      </c>
      <c r="F2575" s="3">
        <v>0.0</v>
      </c>
      <c r="G2575" s="3">
        <v>0.0</v>
      </c>
      <c r="H2575" s="3">
        <v>0.0</v>
      </c>
      <c r="I2575" s="2" t="str">
        <f>IFERROR(__xludf.DUMMYFUNCTION("INDEX(SPLIT(A2575, ""/""), 0, 2)"),"regex")</f>
        <v>regex</v>
      </c>
      <c r="J2575" s="2" t="b">
        <f t="shared" si="1"/>
        <v>0</v>
      </c>
    </row>
    <row r="2576">
      <c r="A2576" s="1" t="s">
        <v>1930</v>
      </c>
      <c r="B2576" s="3">
        <v>23.0</v>
      </c>
      <c r="C2576" s="3">
        <v>60.0</v>
      </c>
      <c r="D2576" s="3">
        <v>0.0</v>
      </c>
      <c r="E2576" s="3">
        <v>0.0</v>
      </c>
      <c r="F2576" s="3">
        <v>0.0</v>
      </c>
      <c r="G2576" s="3">
        <v>0.0</v>
      </c>
      <c r="H2576" s="3">
        <v>0.0</v>
      </c>
      <c r="I2576" s="2" t="str">
        <f>IFERROR(__xludf.DUMMYFUNCTION("INDEX(SPLIT(A2576, ""/""), 0, 2)"),"regex")</f>
        <v>regex</v>
      </c>
      <c r="J2576" s="2" t="b">
        <f t="shared" si="1"/>
        <v>0</v>
      </c>
    </row>
    <row r="2577">
      <c r="A2577" s="1" t="s">
        <v>1931</v>
      </c>
      <c r="B2577" s="3">
        <v>42.0</v>
      </c>
      <c r="C2577" s="3">
        <v>60.0</v>
      </c>
      <c r="D2577" s="3">
        <v>0.0</v>
      </c>
      <c r="E2577" s="3">
        <v>0.0</v>
      </c>
      <c r="F2577" s="3">
        <v>0.0</v>
      </c>
      <c r="G2577" s="3">
        <v>0.0</v>
      </c>
      <c r="H2577" s="3">
        <v>0.0</v>
      </c>
      <c r="I2577" s="2" t="str">
        <f>IFERROR(__xludf.DUMMYFUNCTION("INDEX(SPLIT(A2577, ""/""), 0, 2)"),"regex")</f>
        <v>regex</v>
      </c>
      <c r="J2577" s="2" t="b">
        <f t="shared" si="1"/>
        <v>0</v>
      </c>
    </row>
    <row r="2578">
      <c r="A2578" s="1" t="s">
        <v>1932</v>
      </c>
      <c r="B2578" s="3">
        <v>16.0</v>
      </c>
      <c r="C2578" s="3">
        <v>60.0</v>
      </c>
      <c r="D2578" s="3">
        <v>0.0</v>
      </c>
      <c r="E2578" s="3">
        <v>0.0</v>
      </c>
      <c r="F2578" s="3">
        <v>0.0</v>
      </c>
      <c r="G2578" s="3">
        <v>0.0</v>
      </c>
      <c r="H2578" s="3">
        <v>0.0</v>
      </c>
      <c r="I2578" s="2" t="str">
        <f>IFERROR(__xludf.DUMMYFUNCTION("INDEX(SPLIT(A2578, ""/""), 0, 2)"),"regex")</f>
        <v>regex</v>
      </c>
      <c r="J2578" s="2" t="b">
        <f t="shared" si="1"/>
        <v>0</v>
      </c>
    </row>
    <row r="2579">
      <c r="A2579" s="1" t="s">
        <v>1933</v>
      </c>
      <c r="B2579" s="3">
        <v>18.0</v>
      </c>
      <c r="C2579" s="3">
        <v>60.0</v>
      </c>
      <c r="D2579" s="3">
        <v>0.0</v>
      </c>
      <c r="E2579" s="3">
        <v>0.0</v>
      </c>
      <c r="F2579" s="3">
        <v>0.0</v>
      </c>
      <c r="G2579" s="3">
        <v>0.0</v>
      </c>
      <c r="H2579" s="3">
        <v>0.0</v>
      </c>
      <c r="I2579" s="2" t="str">
        <f>IFERROR(__xludf.DUMMYFUNCTION("INDEX(SPLIT(A2579, ""/""), 0, 2)"),"regex")</f>
        <v>regex</v>
      </c>
      <c r="J2579" s="2" t="b">
        <f t="shared" si="1"/>
        <v>0</v>
      </c>
    </row>
    <row r="2580">
      <c r="A2580" s="1" t="s">
        <v>1934</v>
      </c>
      <c r="B2580" s="3">
        <v>15.0</v>
      </c>
      <c r="C2580" s="3">
        <v>60.0</v>
      </c>
      <c r="D2580" s="3">
        <v>0.0</v>
      </c>
      <c r="E2580" s="3">
        <v>0.0</v>
      </c>
      <c r="F2580" s="3">
        <v>0.0</v>
      </c>
      <c r="G2580" s="3">
        <v>0.0</v>
      </c>
      <c r="H2580" s="3">
        <v>0.0</v>
      </c>
      <c r="I2580" s="2" t="str">
        <f>IFERROR(__xludf.DUMMYFUNCTION("INDEX(SPLIT(A2580, ""/""), 0, 2)"),"regex")</f>
        <v>regex</v>
      </c>
      <c r="J2580" s="2" t="b">
        <f t="shared" si="1"/>
        <v>0</v>
      </c>
    </row>
    <row r="2581">
      <c r="A2581" s="1" t="s">
        <v>1935</v>
      </c>
      <c r="B2581" s="3">
        <v>10.0</v>
      </c>
      <c r="C2581" s="3">
        <v>60.0</v>
      </c>
      <c r="D2581" s="3">
        <v>0.0</v>
      </c>
      <c r="E2581" s="3">
        <v>0.0</v>
      </c>
      <c r="F2581" s="3">
        <v>0.0</v>
      </c>
      <c r="G2581" s="3">
        <v>0.0</v>
      </c>
      <c r="H2581" s="3">
        <v>0.0</v>
      </c>
      <c r="I2581" s="2" t="str">
        <f>IFERROR(__xludf.DUMMYFUNCTION("INDEX(SPLIT(A2581, ""/""), 0, 2)"),"regex")</f>
        <v>regex</v>
      </c>
      <c r="J2581" s="2" t="b">
        <f t="shared" si="1"/>
        <v>0</v>
      </c>
    </row>
    <row r="2582">
      <c r="A2582" s="1" t="s">
        <v>1936</v>
      </c>
      <c r="B2582" s="3">
        <v>26.0</v>
      </c>
      <c r="C2582" s="3">
        <v>60.0</v>
      </c>
      <c r="D2582" s="3">
        <v>0.0</v>
      </c>
      <c r="E2582" s="3">
        <v>0.0</v>
      </c>
      <c r="F2582" s="3">
        <v>0.0</v>
      </c>
      <c r="G2582" s="3">
        <v>0.0</v>
      </c>
      <c r="H2582" s="3">
        <v>0.0</v>
      </c>
      <c r="I2582" s="2" t="str">
        <f>IFERROR(__xludf.DUMMYFUNCTION("INDEX(SPLIT(A2582, ""/""), 0, 2)"),"regex")</f>
        <v>regex</v>
      </c>
      <c r="J2582" s="2" t="b">
        <f t="shared" si="1"/>
        <v>0</v>
      </c>
    </row>
    <row r="2583">
      <c r="A2583" s="1" t="s">
        <v>1937</v>
      </c>
      <c r="B2583" s="3">
        <v>12.0</v>
      </c>
      <c r="C2583" s="3">
        <v>60.0</v>
      </c>
      <c r="D2583" s="3">
        <v>0.0</v>
      </c>
      <c r="E2583" s="3">
        <v>0.0</v>
      </c>
      <c r="F2583" s="3">
        <v>0.0</v>
      </c>
      <c r="G2583" s="3">
        <v>0.0</v>
      </c>
      <c r="H2583" s="3">
        <v>0.0</v>
      </c>
      <c r="I2583" s="2" t="str">
        <f>IFERROR(__xludf.DUMMYFUNCTION("INDEX(SPLIT(A2583, ""/""), 0, 2)"),"regex")</f>
        <v>regex</v>
      </c>
      <c r="J2583" s="2" t="b">
        <f t="shared" si="1"/>
        <v>0</v>
      </c>
    </row>
    <row r="2584">
      <c r="A2584" s="1" t="s">
        <v>1938</v>
      </c>
      <c r="B2584" s="3">
        <v>7.0</v>
      </c>
      <c r="C2584" s="3">
        <v>60.0</v>
      </c>
      <c r="D2584" s="3">
        <v>0.0</v>
      </c>
      <c r="E2584" s="3">
        <v>0.0</v>
      </c>
      <c r="F2584" s="3">
        <v>0.0</v>
      </c>
      <c r="G2584" s="3">
        <v>0.0</v>
      </c>
      <c r="H2584" s="3">
        <v>0.0</v>
      </c>
      <c r="I2584" s="2" t="str">
        <f>IFERROR(__xludf.DUMMYFUNCTION("INDEX(SPLIT(A2584, ""/""), 0, 2)"),"regex")</f>
        <v>regex</v>
      </c>
      <c r="J2584" s="2" t="b">
        <f t="shared" si="1"/>
        <v>0</v>
      </c>
    </row>
    <row r="2585">
      <c r="A2585" s="1" t="s">
        <v>1939</v>
      </c>
      <c r="B2585" s="3">
        <v>83.0</v>
      </c>
      <c r="C2585" s="3">
        <v>60.0</v>
      </c>
      <c r="D2585" s="3">
        <v>0.0</v>
      </c>
      <c r="E2585" s="3">
        <v>0.0</v>
      </c>
      <c r="F2585" s="3">
        <v>0.0</v>
      </c>
      <c r="G2585" s="3">
        <v>0.0</v>
      </c>
      <c r="H2585" s="3">
        <v>0.0</v>
      </c>
      <c r="I2585" s="2" t="str">
        <f>IFERROR(__xludf.DUMMYFUNCTION("INDEX(SPLIT(A2585, ""/""), 0, 2)"),"regex")</f>
        <v>regex</v>
      </c>
      <c r="J2585" s="2" t="b">
        <f t="shared" si="1"/>
        <v>0</v>
      </c>
    </row>
    <row r="2586">
      <c r="A2586" s="1" t="s">
        <v>1940</v>
      </c>
      <c r="B2586" s="3">
        <v>89.0</v>
      </c>
      <c r="C2586" s="3">
        <v>60.0</v>
      </c>
      <c r="D2586" s="3">
        <v>0.0</v>
      </c>
      <c r="E2586" s="3">
        <v>0.0</v>
      </c>
      <c r="F2586" s="3">
        <v>0.0</v>
      </c>
      <c r="G2586" s="3">
        <v>0.0</v>
      </c>
      <c r="H2586" s="3">
        <v>0.0</v>
      </c>
      <c r="I2586" s="2" t="str">
        <f>IFERROR(__xludf.DUMMYFUNCTION("INDEX(SPLIT(A2586, ""/""), 0, 2)"),"regex")</f>
        <v>regex</v>
      </c>
      <c r="J2586" s="2" t="b">
        <f t="shared" si="1"/>
        <v>0</v>
      </c>
    </row>
    <row r="2587">
      <c r="A2587" s="1" t="s">
        <v>1941</v>
      </c>
      <c r="B2587" s="3">
        <v>155.0</v>
      </c>
      <c r="C2587" s="3">
        <v>60.0</v>
      </c>
      <c r="D2587" s="3">
        <v>0.0</v>
      </c>
      <c r="E2587" s="3">
        <v>0.0</v>
      </c>
      <c r="F2587" s="3">
        <v>0.0</v>
      </c>
      <c r="G2587" s="3">
        <v>0.0</v>
      </c>
      <c r="H2587" s="3">
        <v>0.0</v>
      </c>
      <c r="I2587" s="2" t="str">
        <f>IFERROR(__xludf.DUMMYFUNCTION("INDEX(SPLIT(A2587, ""/""), 0, 2)"),"regex")</f>
        <v>regex</v>
      </c>
      <c r="J2587" s="2" t="b">
        <f t="shared" si="1"/>
        <v>0</v>
      </c>
    </row>
    <row r="2588">
      <c r="A2588" s="1" t="s">
        <v>1942</v>
      </c>
      <c r="B2588" s="3">
        <v>43.0</v>
      </c>
      <c r="C2588" s="3">
        <v>60.0</v>
      </c>
      <c r="D2588" s="3">
        <v>0.0</v>
      </c>
      <c r="E2588" s="3">
        <v>0.0</v>
      </c>
      <c r="F2588" s="3">
        <v>0.0</v>
      </c>
      <c r="G2588" s="3">
        <v>0.0</v>
      </c>
      <c r="H2588" s="3">
        <v>0.0</v>
      </c>
      <c r="I2588" s="2" t="str">
        <f>IFERROR(__xludf.DUMMYFUNCTION("INDEX(SPLIT(A2588, ""/""), 0, 2)"),"regex")</f>
        <v>regex</v>
      </c>
      <c r="J2588" s="2" t="b">
        <f t="shared" si="1"/>
        <v>0</v>
      </c>
    </row>
    <row r="2589">
      <c r="A2589" s="1" t="s">
        <v>1943</v>
      </c>
      <c r="B2589" s="3">
        <v>38.0</v>
      </c>
      <c r="C2589" s="3">
        <v>60.0</v>
      </c>
      <c r="D2589" s="3">
        <v>0.0</v>
      </c>
      <c r="E2589" s="3">
        <v>0.0</v>
      </c>
      <c r="F2589" s="3">
        <v>0.0</v>
      </c>
      <c r="G2589" s="3">
        <v>0.0</v>
      </c>
      <c r="H2589" s="3">
        <v>0.0</v>
      </c>
      <c r="I2589" s="2" t="str">
        <f>IFERROR(__xludf.DUMMYFUNCTION("INDEX(SPLIT(A2589, ""/""), 0, 2)"),"regex")</f>
        <v>regex</v>
      </c>
      <c r="J2589" s="2" t="b">
        <f t="shared" si="1"/>
        <v>0</v>
      </c>
    </row>
    <row r="2590">
      <c r="A2590" s="1" t="s">
        <v>1944</v>
      </c>
      <c r="B2590" s="3">
        <v>22.0</v>
      </c>
      <c r="C2590" s="3">
        <v>60.0</v>
      </c>
      <c r="D2590" s="3">
        <v>0.0</v>
      </c>
      <c r="E2590" s="3">
        <v>0.0</v>
      </c>
      <c r="F2590" s="3">
        <v>0.0</v>
      </c>
      <c r="G2590" s="3">
        <v>0.0</v>
      </c>
      <c r="H2590" s="3">
        <v>0.0</v>
      </c>
      <c r="I2590" s="2" t="str">
        <f>IFERROR(__xludf.DUMMYFUNCTION("INDEX(SPLIT(A2590, ""/""), 0, 2)"),"regex")</f>
        <v>regex</v>
      </c>
      <c r="J2590" s="2" t="b">
        <f t="shared" si="1"/>
        <v>0</v>
      </c>
    </row>
    <row r="2591">
      <c r="A2591" s="1" t="s">
        <v>1945</v>
      </c>
      <c r="B2591" s="3">
        <v>16.0</v>
      </c>
      <c r="C2591" s="3">
        <v>60.0</v>
      </c>
      <c r="D2591" s="3">
        <v>0.0</v>
      </c>
      <c r="E2591" s="3">
        <v>0.0</v>
      </c>
      <c r="F2591" s="3">
        <v>0.0</v>
      </c>
      <c r="G2591" s="3">
        <v>0.0</v>
      </c>
      <c r="H2591" s="3">
        <v>0.0</v>
      </c>
      <c r="I2591" s="2" t="str">
        <f>IFERROR(__xludf.DUMMYFUNCTION("INDEX(SPLIT(A2591, ""/""), 0, 2)"),"regex")</f>
        <v>regex</v>
      </c>
      <c r="J2591" s="2" t="b">
        <f t="shared" si="1"/>
        <v>0</v>
      </c>
    </row>
    <row r="2592">
      <c r="A2592" s="1" t="s">
        <v>1946</v>
      </c>
      <c r="B2592" s="3">
        <v>37.0</v>
      </c>
      <c r="C2592" s="3">
        <v>60.0</v>
      </c>
      <c r="D2592" s="3">
        <v>0.0</v>
      </c>
      <c r="E2592" s="3">
        <v>0.0</v>
      </c>
      <c r="F2592" s="3">
        <v>0.0</v>
      </c>
      <c r="G2592" s="3">
        <v>0.0</v>
      </c>
      <c r="H2592" s="3">
        <v>0.0</v>
      </c>
      <c r="I2592" s="2" t="str">
        <f>IFERROR(__xludf.DUMMYFUNCTION("INDEX(SPLIT(A2592, ""/""), 0, 2)"),"regex")</f>
        <v>regex</v>
      </c>
      <c r="J2592" s="2" t="b">
        <f t="shared" si="1"/>
        <v>0</v>
      </c>
    </row>
    <row r="2593">
      <c r="A2593" s="1" t="s">
        <v>1947</v>
      </c>
      <c r="B2593" s="3">
        <v>13.0</v>
      </c>
      <c r="C2593" s="3">
        <v>60.0</v>
      </c>
      <c r="D2593" s="3">
        <v>0.0</v>
      </c>
      <c r="E2593" s="3">
        <v>0.0</v>
      </c>
      <c r="F2593" s="3">
        <v>0.0</v>
      </c>
      <c r="G2593" s="3">
        <v>0.0</v>
      </c>
      <c r="H2593" s="3">
        <v>0.0</v>
      </c>
      <c r="I2593" s="2" t="str">
        <f>IFERROR(__xludf.DUMMYFUNCTION("INDEX(SPLIT(A2593, ""/""), 0, 2)"),"regex")</f>
        <v>regex</v>
      </c>
      <c r="J2593" s="2" t="b">
        <f t="shared" si="1"/>
        <v>0</v>
      </c>
    </row>
    <row r="2594">
      <c r="A2594" s="1" t="s">
        <v>1948</v>
      </c>
      <c r="B2594" s="3">
        <v>110.0</v>
      </c>
      <c r="C2594" s="3">
        <v>60.0</v>
      </c>
      <c r="D2594" s="3">
        <v>0.0</v>
      </c>
      <c r="E2594" s="3">
        <v>0.0</v>
      </c>
      <c r="F2594" s="3">
        <v>0.0</v>
      </c>
      <c r="G2594" s="3">
        <v>0.0</v>
      </c>
      <c r="H2594" s="3">
        <v>0.0</v>
      </c>
      <c r="I2594" s="2" t="str">
        <f>IFERROR(__xludf.DUMMYFUNCTION("INDEX(SPLIT(A2594, ""/""), 0, 2)"),"regex")</f>
        <v>regex</v>
      </c>
      <c r="J2594" s="2" t="b">
        <f t="shared" si="1"/>
        <v>0</v>
      </c>
    </row>
    <row r="2595">
      <c r="A2595" s="1" t="s">
        <v>1949</v>
      </c>
      <c r="B2595" s="3">
        <v>10.0</v>
      </c>
      <c r="C2595" s="3">
        <v>60.0</v>
      </c>
      <c r="D2595" s="3">
        <v>0.0</v>
      </c>
      <c r="E2595" s="3">
        <v>0.0</v>
      </c>
      <c r="F2595" s="3">
        <v>0.0</v>
      </c>
      <c r="G2595" s="3">
        <v>0.0</v>
      </c>
      <c r="H2595" s="3">
        <v>0.0</v>
      </c>
      <c r="I2595" s="2" t="str">
        <f>IFERROR(__xludf.DUMMYFUNCTION("INDEX(SPLIT(A2595, ""/""), 0, 2)"),"regex")</f>
        <v>regex</v>
      </c>
      <c r="J2595" s="2" t="b">
        <f t="shared" si="1"/>
        <v>0</v>
      </c>
    </row>
    <row r="2596">
      <c r="A2596" s="1" t="s">
        <v>1950</v>
      </c>
      <c r="B2596" s="3">
        <v>15.0</v>
      </c>
      <c r="C2596" s="3">
        <v>60.0</v>
      </c>
      <c r="D2596" s="3">
        <v>0.0</v>
      </c>
      <c r="E2596" s="3">
        <v>0.0</v>
      </c>
      <c r="F2596" s="3">
        <v>0.0</v>
      </c>
      <c r="G2596" s="3">
        <v>0.0</v>
      </c>
      <c r="H2596" s="3">
        <v>0.0</v>
      </c>
      <c r="I2596" s="2" t="str">
        <f>IFERROR(__xludf.DUMMYFUNCTION("INDEX(SPLIT(A2596, ""/""), 0, 2)"),"regex")</f>
        <v>regex</v>
      </c>
      <c r="J2596" s="2" t="b">
        <f t="shared" si="1"/>
        <v>0</v>
      </c>
    </row>
    <row r="2597">
      <c r="A2597" s="1" t="s">
        <v>1951</v>
      </c>
      <c r="B2597" s="3">
        <v>10.0</v>
      </c>
      <c r="C2597" s="3">
        <v>60.0</v>
      </c>
      <c r="D2597" s="3">
        <v>0.0</v>
      </c>
      <c r="E2597" s="3">
        <v>0.0</v>
      </c>
      <c r="F2597" s="3">
        <v>0.0</v>
      </c>
      <c r="G2597" s="3">
        <v>0.0</v>
      </c>
      <c r="H2597" s="3">
        <v>0.0</v>
      </c>
      <c r="I2597" s="2" t="str">
        <f>IFERROR(__xludf.DUMMYFUNCTION("INDEX(SPLIT(A2597, ""/""), 0, 2)"),"regex")</f>
        <v>regex</v>
      </c>
      <c r="J2597" s="2" t="b">
        <f t="shared" si="1"/>
        <v>0</v>
      </c>
    </row>
    <row r="2598">
      <c r="A2598" s="1" t="s">
        <v>1952</v>
      </c>
      <c r="B2598" s="3">
        <v>156.0</v>
      </c>
      <c r="C2598" s="3">
        <v>60.0</v>
      </c>
      <c r="D2598" s="3">
        <v>0.0</v>
      </c>
      <c r="E2598" s="3">
        <v>0.0</v>
      </c>
      <c r="F2598" s="3">
        <v>0.0</v>
      </c>
      <c r="G2598" s="3">
        <v>0.0</v>
      </c>
      <c r="H2598" s="3">
        <v>0.0</v>
      </c>
      <c r="I2598" s="2" t="str">
        <f>IFERROR(__xludf.DUMMYFUNCTION("INDEX(SPLIT(A2598, ""/""), 0, 2)"),"regex")</f>
        <v>regex</v>
      </c>
      <c r="J2598" s="2" t="b">
        <f t="shared" si="1"/>
        <v>0</v>
      </c>
    </row>
    <row r="2599">
      <c r="A2599" s="1" t="s">
        <v>1953</v>
      </c>
      <c r="B2599" s="3">
        <v>32.0</v>
      </c>
      <c r="C2599" s="3">
        <v>60.0</v>
      </c>
      <c r="D2599" s="3">
        <v>0.0</v>
      </c>
      <c r="E2599" s="3">
        <v>0.0</v>
      </c>
      <c r="F2599" s="3">
        <v>0.0</v>
      </c>
      <c r="G2599" s="3">
        <v>0.0</v>
      </c>
      <c r="H2599" s="3">
        <v>0.0</v>
      </c>
      <c r="I2599" s="2" t="str">
        <f>IFERROR(__xludf.DUMMYFUNCTION("INDEX(SPLIT(A2599, ""/""), 0, 2)"),"regex")</f>
        <v>regex</v>
      </c>
      <c r="J2599" s="2" t="b">
        <f t="shared" si="1"/>
        <v>0</v>
      </c>
    </row>
    <row r="2600">
      <c r="A2600" s="1" t="s">
        <v>1954</v>
      </c>
      <c r="B2600" s="3">
        <v>150.0</v>
      </c>
      <c r="C2600" s="3">
        <v>60.0</v>
      </c>
      <c r="D2600" s="3">
        <v>0.0</v>
      </c>
      <c r="E2600" s="3">
        <v>0.0</v>
      </c>
      <c r="F2600" s="3">
        <v>0.0</v>
      </c>
      <c r="G2600" s="3">
        <v>0.0</v>
      </c>
      <c r="H2600" s="3">
        <v>0.0</v>
      </c>
      <c r="I2600" s="2" t="str">
        <f>IFERROR(__xludf.DUMMYFUNCTION("INDEX(SPLIT(A2600, ""/""), 0, 2)"),"regex")</f>
        <v>regex</v>
      </c>
      <c r="J2600" s="2" t="b">
        <f t="shared" si="1"/>
        <v>0</v>
      </c>
    </row>
    <row r="2601">
      <c r="A2601" s="1" t="s">
        <v>1955</v>
      </c>
      <c r="B2601" s="3">
        <v>45.0</v>
      </c>
      <c r="C2601" s="3">
        <v>60.0</v>
      </c>
      <c r="D2601" s="3">
        <v>0.0</v>
      </c>
      <c r="E2601" s="3">
        <v>0.0</v>
      </c>
      <c r="F2601" s="3">
        <v>0.0</v>
      </c>
      <c r="G2601" s="3">
        <v>0.0</v>
      </c>
      <c r="H2601" s="3">
        <v>0.0</v>
      </c>
      <c r="I2601" s="2" t="str">
        <f>IFERROR(__xludf.DUMMYFUNCTION("INDEX(SPLIT(A2601, ""/""), 0, 2)"),"regex")</f>
        <v>regex</v>
      </c>
      <c r="J2601" s="2" t="b">
        <f t="shared" si="1"/>
        <v>0</v>
      </c>
    </row>
    <row r="2602">
      <c r="A2602" s="1" t="s">
        <v>1956</v>
      </c>
      <c r="B2602" s="3">
        <v>95.0</v>
      </c>
      <c r="C2602" s="3">
        <v>60.0</v>
      </c>
      <c r="D2602" s="3">
        <v>0.0</v>
      </c>
      <c r="E2602" s="3">
        <v>0.0</v>
      </c>
      <c r="F2602" s="3">
        <v>0.0</v>
      </c>
      <c r="G2602" s="3">
        <v>0.0</v>
      </c>
      <c r="H2602" s="3">
        <v>0.0</v>
      </c>
      <c r="I2602" s="2" t="str">
        <f>IFERROR(__xludf.DUMMYFUNCTION("INDEX(SPLIT(A2602, ""/""), 0, 2)"),"regex")</f>
        <v>regex</v>
      </c>
      <c r="J2602" s="2" t="b">
        <f t="shared" si="1"/>
        <v>0</v>
      </c>
    </row>
    <row r="2603">
      <c r="A2603" s="1" t="s">
        <v>1957</v>
      </c>
      <c r="B2603" s="3">
        <v>2251.0</v>
      </c>
      <c r="C2603" s="3">
        <v>60.0</v>
      </c>
      <c r="D2603" s="3">
        <v>38.0</v>
      </c>
      <c r="E2603" s="3">
        <v>1.0</v>
      </c>
      <c r="F2603" s="3">
        <v>1.0</v>
      </c>
      <c r="G2603" s="3">
        <v>1.0</v>
      </c>
      <c r="H2603" s="3">
        <v>1.0</v>
      </c>
      <c r="I2603" s="2" t="str">
        <f>IFERROR(__xludf.DUMMYFUNCTION("INDEX(SPLIT(A2603, ""/""), 0, 2)"),"regex")</f>
        <v>regex</v>
      </c>
      <c r="J2603" s="2" t="b">
        <f t="shared" si="1"/>
        <v>1</v>
      </c>
    </row>
    <row r="2604">
      <c r="A2604" s="1" t="s">
        <v>1958</v>
      </c>
      <c r="B2604" s="3">
        <v>22.0</v>
      </c>
      <c r="C2604" s="3">
        <v>60.0</v>
      </c>
      <c r="D2604" s="3">
        <v>0.0</v>
      </c>
      <c r="E2604" s="3">
        <v>0.0</v>
      </c>
      <c r="F2604" s="3">
        <v>0.0</v>
      </c>
      <c r="G2604" s="3">
        <v>0.0</v>
      </c>
      <c r="H2604" s="3">
        <v>0.0</v>
      </c>
      <c r="I2604" s="2" t="str">
        <f>IFERROR(__xludf.DUMMYFUNCTION("INDEX(SPLIT(A2604, ""/""), 0, 2)"),"regex")</f>
        <v>regex</v>
      </c>
      <c r="J2604" s="2" t="b">
        <f t="shared" si="1"/>
        <v>0</v>
      </c>
    </row>
    <row r="2605">
      <c r="A2605" s="1" t="s">
        <v>1959</v>
      </c>
      <c r="B2605" s="3">
        <v>87.0</v>
      </c>
      <c r="C2605" s="3">
        <v>60.0</v>
      </c>
      <c r="D2605" s="3">
        <v>0.0</v>
      </c>
      <c r="E2605" s="3">
        <v>0.0</v>
      </c>
      <c r="F2605" s="3">
        <v>0.0</v>
      </c>
      <c r="G2605" s="3">
        <v>0.0</v>
      </c>
      <c r="H2605" s="3">
        <v>0.0</v>
      </c>
      <c r="I2605" s="2" t="str">
        <f>IFERROR(__xludf.DUMMYFUNCTION("INDEX(SPLIT(A2605, ""/""), 0, 2)"),"regex")</f>
        <v>regex</v>
      </c>
      <c r="J2605" s="2" t="b">
        <f t="shared" si="1"/>
        <v>0</v>
      </c>
    </row>
    <row r="2606">
      <c r="A2606" s="1" t="s">
        <v>1960</v>
      </c>
      <c r="B2606" s="3">
        <v>15.0</v>
      </c>
      <c r="C2606" s="3">
        <v>60.0</v>
      </c>
      <c r="D2606" s="3">
        <v>0.0</v>
      </c>
      <c r="E2606" s="3">
        <v>0.0</v>
      </c>
      <c r="F2606" s="3">
        <v>0.0</v>
      </c>
      <c r="G2606" s="3">
        <v>0.0</v>
      </c>
      <c r="H2606" s="3">
        <v>0.0</v>
      </c>
      <c r="I2606" s="2" t="str">
        <f>IFERROR(__xludf.DUMMYFUNCTION("INDEX(SPLIT(A2606, ""/""), 0, 2)"),"regex")</f>
        <v>regex</v>
      </c>
      <c r="J2606" s="2" t="b">
        <f t="shared" si="1"/>
        <v>0</v>
      </c>
    </row>
    <row r="2607">
      <c r="A2607" s="1" t="s">
        <v>1961</v>
      </c>
      <c r="B2607" s="3">
        <v>110.0</v>
      </c>
      <c r="C2607" s="3">
        <v>60.0</v>
      </c>
      <c r="D2607" s="3">
        <v>0.0</v>
      </c>
      <c r="E2607" s="3">
        <v>0.0</v>
      </c>
      <c r="F2607" s="3">
        <v>0.0</v>
      </c>
      <c r="G2607" s="3">
        <v>0.0</v>
      </c>
      <c r="H2607" s="3">
        <v>0.0</v>
      </c>
      <c r="I2607" s="2" t="str">
        <f>IFERROR(__xludf.DUMMYFUNCTION("INDEX(SPLIT(A2607, ""/""), 0, 2)"),"regex")</f>
        <v>regex</v>
      </c>
      <c r="J2607" s="2" t="b">
        <f t="shared" si="1"/>
        <v>0</v>
      </c>
    </row>
    <row r="2608">
      <c r="A2608" s="1" t="s">
        <v>1962</v>
      </c>
      <c r="B2608" s="3">
        <v>49.0</v>
      </c>
      <c r="C2608" s="3">
        <v>60.0</v>
      </c>
      <c r="D2608" s="3">
        <v>0.0</v>
      </c>
      <c r="E2608" s="3">
        <v>0.0</v>
      </c>
      <c r="F2608" s="3">
        <v>0.0</v>
      </c>
      <c r="G2608" s="3">
        <v>0.0</v>
      </c>
      <c r="H2608" s="3">
        <v>0.0</v>
      </c>
      <c r="I2608" s="2" t="str">
        <f>IFERROR(__xludf.DUMMYFUNCTION("INDEX(SPLIT(A2608, ""/""), 0, 2)"),"regex")</f>
        <v>regex</v>
      </c>
      <c r="J2608" s="2" t="b">
        <f t="shared" si="1"/>
        <v>0</v>
      </c>
    </row>
    <row r="2609">
      <c r="A2609" s="1" t="s">
        <v>1963</v>
      </c>
      <c r="B2609" s="3">
        <v>15.0</v>
      </c>
      <c r="C2609" s="3">
        <v>60.0</v>
      </c>
      <c r="D2609" s="3">
        <v>0.0</v>
      </c>
      <c r="E2609" s="3">
        <v>0.0</v>
      </c>
      <c r="F2609" s="3">
        <v>0.0</v>
      </c>
      <c r="G2609" s="3">
        <v>0.0</v>
      </c>
      <c r="H2609" s="3">
        <v>0.0</v>
      </c>
      <c r="I2609" s="2" t="str">
        <f>IFERROR(__xludf.DUMMYFUNCTION("INDEX(SPLIT(A2609, ""/""), 0, 2)"),"regex")</f>
        <v>regex</v>
      </c>
      <c r="J2609" s="2" t="b">
        <f t="shared" si="1"/>
        <v>0</v>
      </c>
    </row>
    <row r="2610">
      <c r="A2610" s="1" t="s">
        <v>1964</v>
      </c>
      <c r="B2610" s="3">
        <v>20.0</v>
      </c>
      <c r="C2610" s="3">
        <v>60.0</v>
      </c>
      <c r="D2610" s="3">
        <v>0.0</v>
      </c>
      <c r="E2610" s="3">
        <v>0.0</v>
      </c>
      <c r="F2610" s="3">
        <v>0.0</v>
      </c>
      <c r="G2610" s="3">
        <v>0.0</v>
      </c>
      <c r="H2610" s="3">
        <v>0.0</v>
      </c>
      <c r="I2610" s="2" t="str">
        <f>IFERROR(__xludf.DUMMYFUNCTION("INDEX(SPLIT(A2610, ""/""), 0, 2)"),"regex")</f>
        <v>regex</v>
      </c>
      <c r="J2610" s="2" t="b">
        <f t="shared" si="1"/>
        <v>0</v>
      </c>
    </row>
    <row r="2611">
      <c r="A2611" s="1" t="s">
        <v>1965</v>
      </c>
      <c r="B2611" s="3">
        <v>62.0</v>
      </c>
      <c r="C2611" s="3">
        <v>60.0</v>
      </c>
      <c r="D2611" s="3">
        <v>0.0</v>
      </c>
      <c r="E2611" s="3">
        <v>0.0</v>
      </c>
      <c r="F2611" s="3">
        <v>0.0</v>
      </c>
      <c r="G2611" s="3">
        <v>0.0</v>
      </c>
      <c r="H2611" s="3">
        <v>0.0</v>
      </c>
      <c r="I2611" s="2" t="str">
        <f>IFERROR(__xludf.DUMMYFUNCTION("INDEX(SPLIT(A2611, ""/""), 0, 2)"),"regex")</f>
        <v>regex</v>
      </c>
      <c r="J2611" s="2" t="b">
        <f t="shared" si="1"/>
        <v>0</v>
      </c>
    </row>
    <row r="2612">
      <c r="A2612" s="1" t="s">
        <v>1966</v>
      </c>
      <c r="B2612" s="3">
        <v>59.0</v>
      </c>
      <c r="C2612" s="3">
        <v>60.0</v>
      </c>
      <c r="D2612" s="3">
        <v>0.0</v>
      </c>
      <c r="E2612" s="3">
        <v>0.0</v>
      </c>
      <c r="F2612" s="3">
        <v>0.0</v>
      </c>
      <c r="G2612" s="3">
        <v>0.0</v>
      </c>
      <c r="H2612" s="3">
        <v>0.0</v>
      </c>
      <c r="I2612" s="2" t="str">
        <f>IFERROR(__xludf.DUMMYFUNCTION("INDEX(SPLIT(A2612, ""/""), 0, 2)"),"regex")</f>
        <v>regex</v>
      </c>
      <c r="J2612" s="2" t="b">
        <f t="shared" si="1"/>
        <v>0</v>
      </c>
    </row>
    <row r="2613">
      <c r="A2613" s="1" t="s">
        <v>1967</v>
      </c>
      <c r="B2613" s="3">
        <v>28.0</v>
      </c>
      <c r="C2613" s="3">
        <v>60.0</v>
      </c>
      <c r="D2613" s="3">
        <v>0.0</v>
      </c>
      <c r="E2613" s="3">
        <v>0.0</v>
      </c>
      <c r="F2613" s="3">
        <v>0.0</v>
      </c>
      <c r="G2613" s="3">
        <v>0.0</v>
      </c>
      <c r="H2613" s="3">
        <v>0.0</v>
      </c>
      <c r="I2613" s="2" t="str">
        <f>IFERROR(__xludf.DUMMYFUNCTION("INDEX(SPLIT(A2613, ""/""), 0, 2)"),"regex")</f>
        <v>regex</v>
      </c>
      <c r="J2613" s="2" t="b">
        <f t="shared" si="1"/>
        <v>0</v>
      </c>
    </row>
    <row r="2614">
      <c r="A2614" s="1" t="s">
        <v>1968</v>
      </c>
      <c r="B2614" s="3">
        <v>33.0</v>
      </c>
      <c r="C2614" s="3">
        <v>60.0</v>
      </c>
      <c r="D2614" s="3">
        <v>0.0</v>
      </c>
      <c r="E2614" s="3">
        <v>0.0</v>
      </c>
      <c r="F2614" s="3">
        <v>0.0</v>
      </c>
      <c r="G2614" s="3">
        <v>0.0</v>
      </c>
      <c r="H2614" s="3">
        <v>0.0</v>
      </c>
      <c r="I2614" s="2" t="str">
        <f>IFERROR(__xludf.DUMMYFUNCTION("INDEX(SPLIT(A2614, ""/""), 0, 2)"),"regex")</f>
        <v>regex</v>
      </c>
      <c r="J2614" s="2" t="b">
        <f t="shared" si="1"/>
        <v>0</v>
      </c>
    </row>
    <row r="2615">
      <c r="A2615" s="1" t="s">
        <v>1969</v>
      </c>
      <c r="B2615" s="3">
        <v>40.0</v>
      </c>
      <c r="C2615" s="3">
        <v>60.0</v>
      </c>
      <c r="D2615" s="3">
        <v>0.0</v>
      </c>
      <c r="E2615" s="3">
        <v>0.0</v>
      </c>
      <c r="F2615" s="3">
        <v>0.0</v>
      </c>
      <c r="G2615" s="3">
        <v>0.0</v>
      </c>
      <c r="H2615" s="3">
        <v>0.0</v>
      </c>
      <c r="I2615" s="2" t="str">
        <f>IFERROR(__xludf.DUMMYFUNCTION("INDEX(SPLIT(A2615, ""/""), 0, 2)"),"regex")</f>
        <v>regex</v>
      </c>
      <c r="J2615" s="2" t="b">
        <f t="shared" si="1"/>
        <v>0</v>
      </c>
    </row>
    <row r="2616">
      <c r="A2616" s="1" t="s">
        <v>1970</v>
      </c>
      <c r="B2616" s="3">
        <v>190.0</v>
      </c>
      <c r="C2616" s="3">
        <v>60.0</v>
      </c>
      <c r="D2616" s="3">
        <v>1.0</v>
      </c>
      <c r="E2616" s="3">
        <v>0.0</v>
      </c>
      <c r="F2616" s="3">
        <v>0.0</v>
      </c>
      <c r="G2616" s="3">
        <v>0.0</v>
      </c>
      <c r="H2616" s="3">
        <v>0.0</v>
      </c>
      <c r="I2616" s="2" t="str">
        <f>IFERROR(__xludf.DUMMYFUNCTION("INDEX(SPLIT(A2616, ""/""), 0, 2)"),"regex")</f>
        <v>regex</v>
      </c>
      <c r="J2616" s="2" t="b">
        <f t="shared" si="1"/>
        <v>0</v>
      </c>
    </row>
    <row r="2617">
      <c r="A2617" s="1" t="s">
        <v>1971</v>
      </c>
      <c r="B2617" s="3">
        <v>51.0</v>
      </c>
      <c r="C2617" s="3">
        <v>60.0</v>
      </c>
      <c r="D2617" s="3">
        <v>0.0</v>
      </c>
      <c r="E2617" s="3">
        <v>0.0</v>
      </c>
      <c r="F2617" s="3">
        <v>0.0</v>
      </c>
      <c r="G2617" s="3">
        <v>0.0</v>
      </c>
      <c r="H2617" s="3">
        <v>0.0</v>
      </c>
      <c r="I2617" s="2" t="str">
        <f>IFERROR(__xludf.DUMMYFUNCTION("INDEX(SPLIT(A2617, ""/""), 0, 2)"),"regex")</f>
        <v>regex</v>
      </c>
      <c r="J2617" s="2" t="b">
        <f t="shared" si="1"/>
        <v>0</v>
      </c>
    </row>
    <row r="2618">
      <c r="A2618" s="1" t="s">
        <v>1972</v>
      </c>
      <c r="B2618" s="3">
        <v>40.0</v>
      </c>
      <c r="C2618" s="3">
        <v>60.0</v>
      </c>
      <c r="D2618" s="3">
        <v>0.0</v>
      </c>
      <c r="E2618" s="3">
        <v>0.0</v>
      </c>
      <c r="F2618" s="3">
        <v>0.0</v>
      </c>
      <c r="G2618" s="3">
        <v>0.0</v>
      </c>
      <c r="H2618" s="3">
        <v>0.0</v>
      </c>
      <c r="I2618" s="2" t="str">
        <f>IFERROR(__xludf.DUMMYFUNCTION("INDEX(SPLIT(A2618, ""/""), 0, 2)"),"regex")</f>
        <v>regex</v>
      </c>
      <c r="J2618" s="2" t="b">
        <f t="shared" si="1"/>
        <v>0</v>
      </c>
    </row>
    <row r="2619">
      <c r="A2619" s="1" t="s">
        <v>1973</v>
      </c>
      <c r="B2619" s="3">
        <v>163.0</v>
      </c>
      <c r="C2619" s="3">
        <v>60.0</v>
      </c>
      <c r="D2619" s="3">
        <v>0.0</v>
      </c>
      <c r="E2619" s="3">
        <v>0.0</v>
      </c>
      <c r="F2619" s="3">
        <v>0.0</v>
      </c>
      <c r="G2619" s="3">
        <v>0.0</v>
      </c>
      <c r="H2619" s="3">
        <v>0.0</v>
      </c>
      <c r="I2619" s="2" t="str">
        <f>IFERROR(__xludf.DUMMYFUNCTION("INDEX(SPLIT(A2619, ""/""), 0, 2)"),"regex")</f>
        <v>regex</v>
      </c>
      <c r="J2619" s="2" t="b">
        <f t="shared" si="1"/>
        <v>0</v>
      </c>
    </row>
    <row r="2620">
      <c r="A2620" s="1" t="s">
        <v>1974</v>
      </c>
      <c r="B2620" s="3">
        <v>10.0</v>
      </c>
      <c r="C2620" s="3">
        <v>60.0</v>
      </c>
      <c r="D2620" s="3">
        <v>0.0</v>
      </c>
      <c r="E2620" s="3">
        <v>0.0</v>
      </c>
      <c r="F2620" s="3">
        <v>0.0</v>
      </c>
      <c r="G2620" s="3">
        <v>0.0</v>
      </c>
      <c r="H2620" s="3">
        <v>0.0</v>
      </c>
      <c r="I2620" s="2" t="str">
        <f>IFERROR(__xludf.DUMMYFUNCTION("INDEX(SPLIT(A2620, ""/""), 0, 2)"),"regex")</f>
        <v>regex</v>
      </c>
      <c r="J2620" s="2" t="b">
        <f t="shared" si="1"/>
        <v>0</v>
      </c>
    </row>
    <row r="2621">
      <c r="A2621" s="1" t="s">
        <v>1975</v>
      </c>
      <c r="B2621" s="3">
        <v>11.0</v>
      </c>
      <c r="C2621" s="3">
        <v>60.0</v>
      </c>
      <c r="D2621" s="3">
        <v>0.0</v>
      </c>
      <c r="E2621" s="3">
        <v>0.0</v>
      </c>
      <c r="F2621" s="3">
        <v>0.0</v>
      </c>
      <c r="G2621" s="3">
        <v>0.0</v>
      </c>
      <c r="H2621" s="3">
        <v>0.0</v>
      </c>
      <c r="I2621" s="2" t="str">
        <f>IFERROR(__xludf.DUMMYFUNCTION("INDEX(SPLIT(A2621, ""/""), 0, 2)"),"regex")</f>
        <v>regex</v>
      </c>
      <c r="J2621" s="2" t="b">
        <f t="shared" si="1"/>
        <v>0</v>
      </c>
    </row>
    <row r="2622">
      <c r="A2622" s="1" t="s">
        <v>1976</v>
      </c>
      <c r="B2622" s="3">
        <v>37.0</v>
      </c>
      <c r="C2622" s="3">
        <v>60.0</v>
      </c>
      <c r="D2622" s="3">
        <v>0.0</v>
      </c>
      <c r="E2622" s="3">
        <v>0.0</v>
      </c>
      <c r="F2622" s="3">
        <v>0.0</v>
      </c>
      <c r="G2622" s="3">
        <v>0.0</v>
      </c>
      <c r="H2622" s="3">
        <v>0.0</v>
      </c>
      <c r="I2622" s="2" t="str">
        <f>IFERROR(__xludf.DUMMYFUNCTION("INDEX(SPLIT(A2622, ""/""), 0, 2)"),"regex")</f>
        <v>regex</v>
      </c>
      <c r="J2622" s="2" t="b">
        <f t="shared" si="1"/>
        <v>0</v>
      </c>
    </row>
    <row r="2623">
      <c r="A2623" s="1" t="s">
        <v>1977</v>
      </c>
      <c r="B2623" s="3">
        <v>45.0</v>
      </c>
      <c r="C2623" s="3">
        <v>60.0</v>
      </c>
      <c r="D2623" s="3">
        <v>0.0</v>
      </c>
      <c r="E2623" s="3">
        <v>0.0</v>
      </c>
      <c r="F2623" s="3">
        <v>0.0</v>
      </c>
      <c r="G2623" s="3">
        <v>0.0</v>
      </c>
      <c r="H2623" s="3">
        <v>0.0</v>
      </c>
      <c r="I2623" s="2" t="str">
        <f>IFERROR(__xludf.DUMMYFUNCTION("INDEX(SPLIT(A2623, ""/""), 0, 2)"),"regex")</f>
        <v>regex</v>
      </c>
      <c r="J2623" s="2" t="b">
        <f t="shared" si="1"/>
        <v>0</v>
      </c>
    </row>
    <row r="2624">
      <c r="A2624" s="1" t="s">
        <v>1978</v>
      </c>
      <c r="B2624" s="3">
        <v>18.0</v>
      </c>
      <c r="C2624" s="3">
        <v>60.0</v>
      </c>
      <c r="D2624" s="3">
        <v>0.0</v>
      </c>
      <c r="E2624" s="3">
        <v>0.0</v>
      </c>
      <c r="F2624" s="3">
        <v>0.0</v>
      </c>
      <c r="G2624" s="3">
        <v>0.0</v>
      </c>
      <c r="H2624" s="3">
        <v>0.0</v>
      </c>
      <c r="I2624" s="2" t="str">
        <f>IFERROR(__xludf.DUMMYFUNCTION("INDEX(SPLIT(A2624, ""/""), 0, 2)"),"regex")</f>
        <v>regex</v>
      </c>
      <c r="J2624" s="2" t="b">
        <f t="shared" si="1"/>
        <v>0</v>
      </c>
    </row>
    <row r="2625">
      <c r="A2625" s="1" t="s">
        <v>1979</v>
      </c>
      <c r="B2625" s="3">
        <v>4.0</v>
      </c>
      <c r="C2625" s="3">
        <v>60.0</v>
      </c>
      <c r="D2625" s="3">
        <v>0.0</v>
      </c>
      <c r="E2625" s="3">
        <v>0.0</v>
      </c>
      <c r="F2625" s="3">
        <v>0.0</v>
      </c>
      <c r="G2625" s="3">
        <v>0.0</v>
      </c>
      <c r="H2625" s="3">
        <v>0.0</v>
      </c>
      <c r="I2625" s="2" t="str">
        <f>IFERROR(__xludf.DUMMYFUNCTION("INDEX(SPLIT(A2625, ""/""), 0, 2)"),"regex")</f>
        <v>regex</v>
      </c>
      <c r="J2625" s="2" t="b">
        <f t="shared" si="1"/>
        <v>0</v>
      </c>
    </row>
    <row r="2626">
      <c r="A2626" s="1" t="s">
        <v>1980</v>
      </c>
      <c r="B2626" s="3">
        <v>36.0</v>
      </c>
      <c r="C2626" s="3">
        <v>60.0</v>
      </c>
      <c r="D2626" s="3">
        <v>0.0</v>
      </c>
      <c r="E2626" s="3">
        <v>0.0</v>
      </c>
      <c r="F2626" s="3">
        <v>0.0</v>
      </c>
      <c r="G2626" s="3">
        <v>0.0</v>
      </c>
      <c r="H2626" s="3">
        <v>0.0</v>
      </c>
      <c r="I2626" s="2" t="str">
        <f>IFERROR(__xludf.DUMMYFUNCTION("INDEX(SPLIT(A2626, ""/""), 0, 2)"),"regex")</f>
        <v>regex</v>
      </c>
      <c r="J2626" s="2" t="b">
        <f t="shared" si="1"/>
        <v>0</v>
      </c>
    </row>
    <row r="2627">
      <c r="A2627" s="1" t="s">
        <v>1981</v>
      </c>
      <c r="B2627" s="3">
        <v>10.0</v>
      </c>
      <c r="C2627" s="3">
        <v>60.0</v>
      </c>
      <c r="D2627" s="3">
        <v>0.0</v>
      </c>
      <c r="E2627" s="3">
        <v>0.0</v>
      </c>
      <c r="F2627" s="3">
        <v>0.0</v>
      </c>
      <c r="G2627" s="3">
        <v>0.0</v>
      </c>
      <c r="H2627" s="3">
        <v>0.0</v>
      </c>
      <c r="I2627" s="2" t="str">
        <f>IFERROR(__xludf.DUMMYFUNCTION("INDEX(SPLIT(A2627, ""/""), 0, 2)"),"regex")</f>
        <v>regex</v>
      </c>
      <c r="J2627" s="2" t="b">
        <f t="shared" si="1"/>
        <v>0</v>
      </c>
    </row>
    <row r="2628">
      <c r="A2628" s="1" t="s">
        <v>1982</v>
      </c>
      <c r="B2628" s="3">
        <v>90.0</v>
      </c>
      <c r="C2628" s="3">
        <v>60.0</v>
      </c>
      <c r="D2628" s="3">
        <v>0.0</v>
      </c>
      <c r="E2628" s="3">
        <v>0.0</v>
      </c>
      <c r="F2628" s="3">
        <v>0.0</v>
      </c>
      <c r="G2628" s="3">
        <v>0.0</v>
      </c>
      <c r="H2628" s="3">
        <v>0.0</v>
      </c>
      <c r="I2628" s="2" t="str">
        <f>IFERROR(__xludf.DUMMYFUNCTION("INDEX(SPLIT(A2628, ""/""), 0, 2)"),"regex")</f>
        <v>regex</v>
      </c>
      <c r="J2628" s="2" t="b">
        <f t="shared" si="1"/>
        <v>0</v>
      </c>
    </row>
    <row r="2629">
      <c r="A2629" s="1" t="s">
        <v>1983</v>
      </c>
      <c r="B2629" s="3">
        <v>176.0</v>
      </c>
      <c r="C2629" s="3">
        <v>60.0</v>
      </c>
      <c r="D2629" s="3">
        <v>0.0</v>
      </c>
      <c r="E2629" s="3">
        <v>0.0</v>
      </c>
      <c r="F2629" s="3">
        <v>0.0</v>
      </c>
      <c r="G2629" s="3">
        <v>0.0</v>
      </c>
      <c r="H2629" s="3">
        <v>0.0</v>
      </c>
      <c r="I2629" s="2" t="str">
        <f>IFERROR(__xludf.DUMMYFUNCTION("INDEX(SPLIT(A2629, ""/""), 0, 2)"),"regex")</f>
        <v>regex</v>
      </c>
      <c r="J2629" s="2" t="b">
        <f t="shared" si="1"/>
        <v>0</v>
      </c>
    </row>
    <row r="2630">
      <c r="A2630" s="1" t="s">
        <v>1984</v>
      </c>
      <c r="B2630" s="3">
        <v>23.0</v>
      </c>
      <c r="C2630" s="3">
        <v>60.0</v>
      </c>
      <c r="D2630" s="3">
        <v>0.0</v>
      </c>
      <c r="E2630" s="3">
        <v>0.0</v>
      </c>
      <c r="F2630" s="3">
        <v>0.0</v>
      </c>
      <c r="G2630" s="3">
        <v>0.0</v>
      </c>
      <c r="H2630" s="3">
        <v>0.0</v>
      </c>
      <c r="I2630" s="2" t="str">
        <f>IFERROR(__xludf.DUMMYFUNCTION("INDEX(SPLIT(A2630, ""/""), 0, 2)"),"regex")</f>
        <v>regex</v>
      </c>
      <c r="J2630" s="2" t="b">
        <f t="shared" si="1"/>
        <v>0</v>
      </c>
    </row>
    <row r="2631">
      <c r="A2631" s="1" t="s">
        <v>1985</v>
      </c>
      <c r="B2631" s="3">
        <v>163.0</v>
      </c>
      <c r="C2631" s="3">
        <v>60.0</v>
      </c>
      <c r="D2631" s="3">
        <v>0.0</v>
      </c>
      <c r="E2631" s="3">
        <v>0.0</v>
      </c>
      <c r="F2631" s="3">
        <v>0.0</v>
      </c>
      <c r="G2631" s="3">
        <v>0.0</v>
      </c>
      <c r="H2631" s="3">
        <v>0.0</v>
      </c>
      <c r="I2631" s="2" t="str">
        <f>IFERROR(__xludf.DUMMYFUNCTION("INDEX(SPLIT(A2631, ""/""), 0, 2)"),"regex")</f>
        <v>regex</v>
      </c>
      <c r="J2631" s="2" t="b">
        <f t="shared" si="1"/>
        <v>0</v>
      </c>
    </row>
    <row r="2632">
      <c r="A2632" s="1" t="s">
        <v>1986</v>
      </c>
      <c r="B2632" s="3">
        <v>12.0</v>
      </c>
      <c r="C2632" s="3">
        <v>60.0</v>
      </c>
      <c r="D2632" s="3">
        <v>0.0</v>
      </c>
      <c r="E2632" s="3">
        <v>0.0</v>
      </c>
      <c r="F2632" s="3">
        <v>0.0</v>
      </c>
      <c r="G2632" s="3">
        <v>0.0</v>
      </c>
      <c r="H2632" s="3">
        <v>0.0</v>
      </c>
      <c r="I2632" s="2" t="str">
        <f>IFERROR(__xludf.DUMMYFUNCTION("INDEX(SPLIT(A2632, ""/""), 0, 2)"),"regex")</f>
        <v>regex</v>
      </c>
      <c r="J2632" s="2" t="b">
        <f t="shared" si="1"/>
        <v>0</v>
      </c>
    </row>
    <row r="2633">
      <c r="A2633" s="1" t="s">
        <v>1987</v>
      </c>
      <c r="B2633" s="3">
        <v>43.0</v>
      </c>
      <c r="C2633" s="3">
        <v>60.0</v>
      </c>
      <c r="D2633" s="3">
        <v>0.0</v>
      </c>
      <c r="E2633" s="3">
        <v>0.0</v>
      </c>
      <c r="F2633" s="3">
        <v>0.0</v>
      </c>
      <c r="G2633" s="3">
        <v>0.0</v>
      </c>
      <c r="H2633" s="3">
        <v>0.0</v>
      </c>
      <c r="I2633" s="2" t="str">
        <f>IFERROR(__xludf.DUMMYFUNCTION("INDEX(SPLIT(A2633, ""/""), 0, 2)"),"regex")</f>
        <v>regex</v>
      </c>
      <c r="J2633" s="2" t="b">
        <f t="shared" si="1"/>
        <v>0</v>
      </c>
    </row>
    <row r="2634">
      <c r="A2634" s="1" t="s">
        <v>1988</v>
      </c>
      <c r="B2634" s="3">
        <v>28.0</v>
      </c>
      <c r="C2634" s="3">
        <v>60.0</v>
      </c>
      <c r="D2634" s="3">
        <v>0.0</v>
      </c>
      <c r="E2634" s="3">
        <v>0.0</v>
      </c>
      <c r="F2634" s="3">
        <v>0.0</v>
      </c>
      <c r="G2634" s="3">
        <v>0.0</v>
      </c>
      <c r="H2634" s="3">
        <v>0.0</v>
      </c>
      <c r="I2634" s="2" t="str">
        <f>IFERROR(__xludf.DUMMYFUNCTION("INDEX(SPLIT(A2634, ""/""), 0, 2)"),"regex")</f>
        <v>regex</v>
      </c>
      <c r="J2634" s="2" t="b">
        <f t="shared" si="1"/>
        <v>0</v>
      </c>
    </row>
    <row r="2635">
      <c r="A2635" s="1" t="s">
        <v>1989</v>
      </c>
      <c r="B2635" s="3">
        <v>65.0</v>
      </c>
      <c r="C2635" s="3">
        <v>60.0</v>
      </c>
      <c r="D2635" s="3">
        <v>0.0</v>
      </c>
      <c r="E2635" s="3">
        <v>0.0</v>
      </c>
      <c r="F2635" s="3">
        <v>0.0</v>
      </c>
      <c r="G2635" s="3">
        <v>0.0</v>
      </c>
      <c r="H2635" s="3">
        <v>0.0</v>
      </c>
      <c r="I2635" s="2" t="str">
        <f>IFERROR(__xludf.DUMMYFUNCTION("INDEX(SPLIT(A2635, ""/""), 0, 2)"),"regex")</f>
        <v>regex</v>
      </c>
      <c r="J2635" s="2" t="b">
        <f t="shared" si="1"/>
        <v>0</v>
      </c>
    </row>
    <row r="2636">
      <c r="A2636" s="1" t="s">
        <v>1990</v>
      </c>
      <c r="B2636" s="3">
        <v>17.0</v>
      </c>
      <c r="C2636" s="3">
        <v>60.0</v>
      </c>
      <c r="D2636" s="3">
        <v>0.0</v>
      </c>
      <c r="E2636" s="3">
        <v>0.0</v>
      </c>
      <c r="F2636" s="3">
        <v>0.0</v>
      </c>
      <c r="G2636" s="3">
        <v>0.0</v>
      </c>
      <c r="H2636" s="3">
        <v>0.0</v>
      </c>
      <c r="I2636" s="2" t="str">
        <f>IFERROR(__xludf.DUMMYFUNCTION("INDEX(SPLIT(A2636, ""/""), 0, 2)"),"regex")</f>
        <v>regex</v>
      </c>
      <c r="J2636" s="2" t="b">
        <f t="shared" si="1"/>
        <v>0</v>
      </c>
    </row>
    <row r="2637">
      <c r="A2637" s="1" t="s">
        <v>1991</v>
      </c>
      <c r="B2637" s="3">
        <v>8.0</v>
      </c>
      <c r="C2637" s="3">
        <v>60.0</v>
      </c>
      <c r="D2637" s="3">
        <v>0.0</v>
      </c>
      <c r="E2637" s="3">
        <v>0.0</v>
      </c>
      <c r="F2637" s="3">
        <v>0.0</v>
      </c>
      <c r="G2637" s="3">
        <v>0.0</v>
      </c>
      <c r="H2637" s="3">
        <v>0.0</v>
      </c>
      <c r="I2637" s="2" t="str">
        <f>IFERROR(__xludf.DUMMYFUNCTION("INDEX(SPLIT(A2637, ""/""), 0, 2)"),"regex")</f>
        <v>regex</v>
      </c>
      <c r="J2637" s="2" t="b">
        <f t="shared" si="1"/>
        <v>0</v>
      </c>
    </row>
    <row r="2638">
      <c r="A2638" s="1" t="s">
        <v>1992</v>
      </c>
      <c r="B2638" s="3">
        <v>47.0</v>
      </c>
      <c r="C2638" s="3">
        <v>60.0</v>
      </c>
      <c r="D2638" s="3">
        <v>0.0</v>
      </c>
      <c r="E2638" s="3">
        <v>0.0</v>
      </c>
      <c r="F2638" s="3">
        <v>0.0</v>
      </c>
      <c r="G2638" s="3">
        <v>0.0</v>
      </c>
      <c r="H2638" s="3">
        <v>0.0</v>
      </c>
      <c r="I2638" s="2" t="str">
        <f>IFERROR(__xludf.DUMMYFUNCTION("INDEX(SPLIT(A2638, ""/""), 0, 2)"),"regex")</f>
        <v>regex</v>
      </c>
      <c r="J2638" s="2" t="b">
        <f t="shared" si="1"/>
        <v>0</v>
      </c>
    </row>
    <row r="2639">
      <c r="A2639" s="1" t="s">
        <v>1993</v>
      </c>
      <c r="B2639" s="3">
        <v>102.0</v>
      </c>
      <c r="C2639" s="3">
        <v>60.0</v>
      </c>
      <c r="D2639" s="3">
        <v>0.0</v>
      </c>
      <c r="E2639" s="3">
        <v>0.0</v>
      </c>
      <c r="F2639" s="3">
        <v>0.0</v>
      </c>
      <c r="G2639" s="3">
        <v>0.0</v>
      </c>
      <c r="H2639" s="3">
        <v>0.0</v>
      </c>
      <c r="I2639" s="2" t="str">
        <f>IFERROR(__xludf.DUMMYFUNCTION("INDEX(SPLIT(A2639, ""/""), 0, 2)"),"regex")</f>
        <v>regex</v>
      </c>
      <c r="J2639" s="2" t="b">
        <f t="shared" si="1"/>
        <v>0</v>
      </c>
    </row>
    <row r="2640">
      <c r="A2640" s="1" t="s">
        <v>1994</v>
      </c>
      <c r="B2640" s="3">
        <v>267.0</v>
      </c>
      <c r="C2640" s="3">
        <v>60.0</v>
      </c>
      <c r="D2640" s="3">
        <v>0.0</v>
      </c>
      <c r="E2640" s="3">
        <v>0.0</v>
      </c>
      <c r="F2640" s="3">
        <v>0.0</v>
      </c>
      <c r="G2640" s="3">
        <v>0.0</v>
      </c>
      <c r="H2640" s="3">
        <v>0.0</v>
      </c>
      <c r="I2640" s="2" t="str">
        <f>IFERROR(__xludf.DUMMYFUNCTION("INDEX(SPLIT(A2640, ""/""), 0, 2)"),"regex")</f>
        <v>regex</v>
      </c>
      <c r="J2640" s="2" t="b">
        <f t="shared" si="1"/>
        <v>0</v>
      </c>
    </row>
    <row r="2641">
      <c r="A2641" s="1" t="s">
        <v>1995</v>
      </c>
      <c r="B2641" s="3">
        <v>30.0</v>
      </c>
      <c r="C2641" s="3">
        <v>60.0</v>
      </c>
      <c r="D2641" s="3">
        <v>0.0</v>
      </c>
      <c r="E2641" s="3">
        <v>0.0</v>
      </c>
      <c r="F2641" s="3">
        <v>0.0</v>
      </c>
      <c r="G2641" s="3">
        <v>0.0</v>
      </c>
      <c r="H2641" s="3">
        <v>0.0</v>
      </c>
      <c r="I2641" s="2" t="str">
        <f>IFERROR(__xludf.DUMMYFUNCTION("INDEX(SPLIT(A2641, ""/""), 0, 2)"),"regex")</f>
        <v>regex</v>
      </c>
      <c r="J2641" s="2" t="b">
        <f t="shared" si="1"/>
        <v>0</v>
      </c>
    </row>
    <row r="2642">
      <c r="A2642" s="1" t="s">
        <v>1996</v>
      </c>
      <c r="B2642" s="3">
        <v>25.0</v>
      </c>
      <c r="C2642" s="3">
        <v>60.0</v>
      </c>
      <c r="D2642" s="3">
        <v>0.0</v>
      </c>
      <c r="E2642" s="3">
        <v>0.0</v>
      </c>
      <c r="F2642" s="3">
        <v>0.0</v>
      </c>
      <c r="G2642" s="3">
        <v>0.0</v>
      </c>
      <c r="H2642" s="3">
        <v>0.0</v>
      </c>
      <c r="I2642" s="2" t="str">
        <f>IFERROR(__xludf.DUMMYFUNCTION("INDEX(SPLIT(A2642, ""/""), 0, 2)"),"regex")</f>
        <v>regex</v>
      </c>
      <c r="J2642" s="2" t="b">
        <f t="shared" si="1"/>
        <v>0</v>
      </c>
    </row>
    <row r="2643">
      <c r="A2643" s="1" t="s">
        <v>1997</v>
      </c>
      <c r="B2643" s="3">
        <v>17.0</v>
      </c>
      <c r="C2643" s="3">
        <v>60.0</v>
      </c>
      <c r="D2643" s="3">
        <v>0.0</v>
      </c>
      <c r="E2643" s="3">
        <v>0.0</v>
      </c>
      <c r="F2643" s="3">
        <v>0.0</v>
      </c>
      <c r="G2643" s="3">
        <v>0.0</v>
      </c>
      <c r="H2643" s="3">
        <v>0.0</v>
      </c>
      <c r="I2643" s="2" t="str">
        <f>IFERROR(__xludf.DUMMYFUNCTION("INDEX(SPLIT(A2643, ""/""), 0, 2)"),"regex")</f>
        <v>regex</v>
      </c>
      <c r="J2643" s="2" t="b">
        <f t="shared" si="1"/>
        <v>0</v>
      </c>
    </row>
    <row r="2644">
      <c r="A2644" s="1" t="s">
        <v>1998</v>
      </c>
      <c r="B2644" s="3">
        <v>120.0</v>
      </c>
      <c r="C2644" s="3">
        <v>60.0</v>
      </c>
      <c r="D2644" s="3">
        <v>0.0</v>
      </c>
      <c r="E2644" s="3">
        <v>0.0</v>
      </c>
      <c r="F2644" s="3">
        <v>0.0</v>
      </c>
      <c r="G2644" s="3">
        <v>0.0</v>
      </c>
      <c r="H2644" s="3">
        <v>0.0</v>
      </c>
      <c r="I2644" s="2" t="str">
        <f>IFERROR(__xludf.DUMMYFUNCTION("INDEX(SPLIT(A2644, ""/""), 0, 2)"),"regex")</f>
        <v>regex</v>
      </c>
      <c r="J2644" s="2" t="b">
        <f t="shared" si="1"/>
        <v>0</v>
      </c>
    </row>
    <row r="2645">
      <c r="A2645" s="1" t="s">
        <v>1999</v>
      </c>
      <c r="B2645" s="3">
        <v>35.0</v>
      </c>
      <c r="C2645" s="3">
        <v>60.0</v>
      </c>
      <c r="D2645" s="3">
        <v>0.0</v>
      </c>
      <c r="E2645" s="3">
        <v>0.0</v>
      </c>
      <c r="F2645" s="3">
        <v>0.0</v>
      </c>
      <c r="G2645" s="3">
        <v>0.0</v>
      </c>
      <c r="H2645" s="3">
        <v>0.0</v>
      </c>
      <c r="I2645" s="2" t="str">
        <f>IFERROR(__xludf.DUMMYFUNCTION("INDEX(SPLIT(A2645, ""/""), 0, 2)"),"regex")</f>
        <v>regex</v>
      </c>
      <c r="J2645" s="2" t="b">
        <f t="shared" si="1"/>
        <v>0</v>
      </c>
    </row>
    <row r="2646">
      <c r="A2646" s="1" t="s">
        <v>2000</v>
      </c>
      <c r="B2646" s="3">
        <v>52.0</v>
      </c>
      <c r="C2646" s="3">
        <v>60.0</v>
      </c>
      <c r="D2646" s="3">
        <v>0.0</v>
      </c>
      <c r="E2646" s="3">
        <v>0.0</v>
      </c>
      <c r="F2646" s="3">
        <v>0.0</v>
      </c>
      <c r="G2646" s="3">
        <v>0.0</v>
      </c>
      <c r="H2646" s="3">
        <v>0.0</v>
      </c>
      <c r="I2646" s="2" t="str">
        <f>IFERROR(__xludf.DUMMYFUNCTION("INDEX(SPLIT(A2646, ""/""), 0, 2)"),"regex")</f>
        <v>regex</v>
      </c>
      <c r="J2646" s="2" t="b">
        <f t="shared" si="1"/>
        <v>0</v>
      </c>
    </row>
    <row r="2647">
      <c r="A2647" s="1" t="s">
        <v>2001</v>
      </c>
      <c r="B2647" s="3">
        <v>17.0</v>
      </c>
      <c r="C2647" s="3">
        <v>60.0</v>
      </c>
      <c r="D2647" s="3">
        <v>0.0</v>
      </c>
      <c r="E2647" s="3">
        <v>0.0</v>
      </c>
      <c r="F2647" s="3">
        <v>0.0</v>
      </c>
      <c r="G2647" s="3">
        <v>0.0</v>
      </c>
      <c r="H2647" s="3">
        <v>0.0</v>
      </c>
      <c r="I2647" s="2" t="str">
        <f>IFERROR(__xludf.DUMMYFUNCTION("INDEX(SPLIT(A2647, ""/""), 0, 2)"),"regex")</f>
        <v>regex</v>
      </c>
      <c r="J2647" s="2" t="b">
        <f t="shared" si="1"/>
        <v>0</v>
      </c>
    </row>
    <row r="2648">
      <c r="A2648" s="1" t="s">
        <v>2002</v>
      </c>
      <c r="B2648" s="3">
        <v>53.0</v>
      </c>
      <c r="C2648" s="3">
        <v>60.0</v>
      </c>
      <c r="D2648" s="3">
        <v>0.0</v>
      </c>
      <c r="E2648" s="3">
        <v>0.0</v>
      </c>
      <c r="F2648" s="3">
        <v>0.0</v>
      </c>
      <c r="G2648" s="3">
        <v>0.0</v>
      </c>
      <c r="H2648" s="3">
        <v>0.0</v>
      </c>
      <c r="I2648" s="2" t="str">
        <f>IFERROR(__xludf.DUMMYFUNCTION("INDEX(SPLIT(A2648, ""/""), 0, 2)"),"regex")</f>
        <v>regex</v>
      </c>
      <c r="J2648" s="2" t="b">
        <f t="shared" si="1"/>
        <v>0</v>
      </c>
    </row>
    <row r="2649">
      <c r="A2649" s="1" t="s">
        <v>2003</v>
      </c>
      <c r="B2649" s="3">
        <v>389.0</v>
      </c>
      <c r="C2649" s="3">
        <v>60.0</v>
      </c>
      <c r="D2649" s="3">
        <v>1.0</v>
      </c>
      <c r="E2649" s="3">
        <v>0.0</v>
      </c>
      <c r="F2649" s="3">
        <v>0.0</v>
      </c>
      <c r="G2649" s="3">
        <v>0.0</v>
      </c>
      <c r="H2649" s="3">
        <v>0.0</v>
      </c>
      <c r="I2649" s="2" t="str">
        <f>IFERROR(__xludf.DUMMYFUNCTION("INDEX(SPLIT(A2649, ""/""), 0, 2)"),"regex")</f>
        <v>regex</v>
      </c>
      <c r="J2649" s="2" t="b">
        <f t="shared" si="1"/>
        <v>0</v>
      </c>
    </row>
    <row r="2650">
      <c r="A2650" s="1" t="s">
        <v>2004</v>
      </c>
      <c r="B2650" s="3">
        <v>16.0</v>
      </c>
      <c r="C2650" s="3">
        <v>60.0</v>
      </c>
      <c r="D2650" s="3">
        <v>0.0</v>
      </c>
      <c r="E2650" s="3">
        <v>0.0</v>
      </c>
      <c r="F2650" s="3">
        <v>0.0</v>
      </c>
      <c r="G2650" s="3">
        <v>0.0</v>
      </c>
      <c r="H2650" s="3">
        <v>0.0</v>
      </c>
      <c r="I2650" s="2" t="str">
        <f>IFERROR(__xludf.DUMMYFUNCTION("INDEX(SPLIT(A2650, ""/""), 0, 2)"),"regex")</f>
        <v>regex</v>
      </c>
      <c r="J2650" s="2" t="b">
        <f t="shared" si="1"/>
        <v>0</v>
      </c>
    </row>
    <row r="2651">
      <c r="A2651" s="1" t="s">
        <v>2005</v>
      </c>
      <c r="B2651" s="3">
        <v>70.0</v>
      </c>
      <c r="C2651" s="3">
        <v>60.0</v>
      </c>
      <c r="D2651" s="3">
        <v>0.0</v>
      </c>
      <c r="E2651" s="3">
        <v>0.0</v>
      </c>
      <c r="F2651" s="3">
        <v>0.0</v>
      </c>
      <c r="G2651" s="3">
        <v>0.0</v>
      </c>
      <c r="H2651" s="3">
        <v>0.0</v>
      </c>
      <c r="I2651" s="2" t="str">
        <f>IFERROR(__xludf.DUMMYFUNCTION("INDEX(SPLIT(A2651, ""/""), 0, 2)"),"regex")</f>
        <v>regex</v>
      </c>
      <c r="J2651" s="2" t="b">
        <f t="shared" si="1"/>
        <v>0</v>
      </c>
    </row>
    <row r="2652">
      <c r="A2652" s="1" t="s">
        <v>2006</v>
      </c>
      <c r="B2652" s="3">
        <v>74.0</v>
      </c>
      <c r="C2652" s="3">
        <v>60.0</v>
      </c>
      <c r="D2652" s="3">
        <v>0.0</v>
      </c>
      <c r="E2652" s="3">
        <v>0.0</v>
      </c>
      <c r="F2652" s="3">
        <v>0.0</v>
      </c>
      <c r="G2652" s="3">
        <v>0.0</v>
      </c>
      <c r="H2652" s="3">
        <v>0.0</v>
      </c>
      <c r="I2652" s="2" t="str">
        <f>IFERROR(__xludf.DUMMYFUNCTION("INDEX(SPLIT(A2652, ""/""), 0, 2)"),"regex")</f>
        <v>regex</v>
      </c>
      <c r="J2652" s="2" t="b">
        <f t="shared" si="1"/>
        <v>0</v>
      </c>
    </row>
    <row r="2653">
      <c r="A2653" s="1" t="s">
        <v>2007</v>
      </c>
      <c r="B2653" s="3">
        <v>54.0</v>
      </c>
      <c r="C2653" s="3">
        <v>60.0</v>
      </c>
      <c r="D2653" s="3">
        <v>0.0</v>
      </c>
      <c r="E2653" s="3">
        <v>0.0</v>
      </c>
      <c r="F2653" s="3">
        <v>0.0</v>
      </c>
      <c r="G2653" s="3">
        <v>0.0</v>
      </c>
      <c r="H2653" s="3">
        <v>0.0</v>
      </c>
      <c r="I2653" s="2" t="str">
        <f>IFERROR(__xludf.DUMMYFUNCTION("INDEX(SPLIT(A2653, ""/""), 0, 2)"),"regex")</f>
        <v>regex</v>
      </c>
      <c r="J2653" s="2" t="b">
        <f t="shared" si="1"/>
        <v>0</v>
      </c>
    </row>
    <row r="2654">
      <c r="A2654" s="1" t="s">
        <v>2008</v>
      </c>
      <c r="B2654" s="3">
        <v>106.0</v>
      </c>
      <c r="C2654" s="3">
        <v>60.0</v>
      </c>
      <c r="D2654" s="3">
        <v>0.0</v>
      </c>
      <c r="E2654" s="3">
        <v>0.0</v>
      </c>
      <c r="F2654" s="3">
        <v>0.0</v>
      </c>
      <c r="G2654" s="3">
        <v>0.0</v>
      </c>
      <c r="H2654" s="3">
        <v>0.0</v>
      </c>
      <c r="I2654" s="2" t="str">
        <f>IFERROR(__xludf.DUMMYFUNCTION("INDEX(SPLIT(A2654, ""/""), 0, 2)"),"regex")</f>
        <v>regex</v>
      </c>
      <c r="J2654" s="2" t="b">
        <f t="shared" si="1"/>
        <v>0</v>
      </c>
    </row>
    <row r="2655">
      <c r="A2655" s="1" t="s">
        <v>2009</v>
      </c>
      <c r="B2655" s="3">
        <v>7.0</v>
      </c>
      <c r="C2655" s="3">
        <v>60.0</v>
      </c>
      <c r="D2655" s="3">
        <v>0.0</v>
      </c>
      <c r="E2655" s="3">
        <v>0.0</v>
      </c>
      <c r="F2655" s="3">
        <v>0.0</v>
      </c>
      <c r="G2655" s="3">
        <v>0.0</v>
      </c>
      <c r="H2655" s="3">
        <v>0.0</v>
      </c>
      <c r="I2655" s="2" t="str">
        <f>IFERROR(__xludf.DUMMYFUNCTION("INDEX(SPLIT(A2655, ""/""), 0, 2)"),"regex")</f>
        <v>regex</v>
      </c>
      <c r="J2655" s="2" t="b">
        <f t="shared" si="1"/>
        <v>0</v>
      </c>
    </row>
    <row r="2656">
      <c r="A2656" s="1" t="s">
        <v>2010</v>
      </c>
      <c r="B2656" s="3">
        <v>22.0</v>
      </c>
      <c r="C2656" s="3">
        <v>60.0</v>
      </c>
      <c r="D2656" s="3">
        <v>0.0</v>
      </c>
      <c r="E2656" s="3">
        <v>0.0</v>
      </c>
      <c r="F2656" s="3">
        <v>0.0</v>
      </c>
      <c r="G2656" s="3">
        <v>0.0</v>
      </c>
      <c r="H2656" s="3">
        <v>0.0</v>
      </c>
      <c r="I2656" s="2" t="str">
        <f>IFERROR(__xludf.DUMMYFUNCTION("INDEX(SPLIT(A2656, ""/""), 0, 2)"),"regex")</f>
        <v>regex</v>
      </c>
      <c r="J2656" s="2" t="b">
        <f t="shared" si="1"/>
        <v>0</v>
      </c>
    </row>
    <row r="2657">
      <c r="A2657" s="1" t="s">
        <v>2011</v>
      </c>
      <c r="B2657" s="3">
        <v>18.0</v>
      </c>
      <c r="C2657" s="3">
        <v>60.0</v>
      </c>
      <c r="D2657" s="3">
        <v>0.0</v>
      </c>
      <c r="E2657" s="3">
        <v>0.0</v>
      </c>
      <c r="F2657" s="3">
        <v>0.0</v>
      </c>
      <c r="G2657" s="3">
        <v>0.0</v>
      </c>
      <c r="H2657" s="3">
        <v>0.0</v>
      </c>
      <c r="I2657" s="2" t="str">
        <f>IFERROR(__xludf.DUMMYFUNCTION("INDEX(SPLIT(A2657, ""/""), 0, 2)"),"regex")</f>
        <v>regex</v>
      </c>
      <c r="J2657" s="2" t="b">
        <f t="shared" si="1"/>
        <v>0</v>
      </c>
    </row>
    <row r="2658">
      <c r="A2658" s="1" t="s">
        <v>2012</v>
      </c>
      <c r="B2658" s="3">
        <v>68.0</v>
      </c>
      <c r="C2658" s="3">
        <v>60.0</v>
      </c>
      <c r="D2658" s="3">
        <v>0.0</v>
      </c>
      <c r="E2658" s="3">
        <v>0.0</v>
      </c>
      <c r="F2658" s="3">
        <v>0.0</v>
      </c>
      <c r="G2658" s="3">
        <v>0.0</v>
      </c>
      <c r="H2658" s="3">
        <v>0.0</v>
      </c>
      <c r="I2658" s="2" t="str">
        <f>IFERROR(__xludf.DUMMYFUNCTION("INDEX(SPLIT(A2658, ""/""), 0, 2)"),"regex")</f>
        <v>regex</v>
      </c>
      <c r="J2658" s="2" t="b">
        <f t="shared" si="1"/>
        <v>0</v>
      </c>
    </row>
    <row r="2659">
      <c r="A2659" s="1" t="s">
        <v>2013</v>
      </c>
      <c r="B2659" s="3">
        <v>64.0</v>
      </c>
      <c r="C2659" s="3">
        <v>60.0</v>
      </c>
      <c r="D2659" s="3">
        <v>0.0</v>
      </c>
      <c r="E2659" s="3">
        <v>0.0</v>
      </c>
      <c r="F2659" s="3">
        <v>0.0</v>
      </c>
      <c r="G2659" s="3">
        <v>0.0</v>
      </c>
      <c r="H2659" s="3">
        <v>0.0</v>
      </c>
      <c r="I2659" s="2" t="str">
        <f>IFERROR(__xludf.DUMMYFUNCTION("INDEX(SPLIT(A2659, ""/""), 0, 2)"),"regex")</f>
        <v>regex</v>
      </c>
      <c r="J2659" s="2" t="b">
        <f t="shared" si="1"/>
        <v>0</v>
      </c>
    </row>
    <row r="2660">
      <c r="A2660" s="1" t="s">
        <v>2014</v>
      </c>
      <c r="B2660" s="3">
        <v>34.0</v>
      </c>
      <c r="C2660" s="3">
        <v>60.0</v>
      </c>
      <c r="D2660" s="3">
        <v>0.0</v>
      </c>
      <c r="E2660" s="3">
        <v>0.0</v>
      </c>
      <c r="F2660" s="3">
        <v>0.0</v>
      </c>
      <c r="G2660" s="3">
        <v>0.0</v>
      </c>
      <c r="H2660" s="3">
        <v>0.0</v>
      </c>
      <c r="I2660" s="2" t="str">
        <f>IFERROR(__xludf.DUMMYFUNCTION("INDEX(SPLIT(A2660, ""/""), 0, 2)"),"regex")</f>
        <v>regex</v>
      </c>
      <c r="J2660" s="2" t="b">
        <f t="shared" si="1"/>
        <v>0</v>
      </c>
    </row>
    <row r="2661">
      <c r="A2661" s="1" t="s">
        <v>2015</v>
      </c>
      <c r="B2661" s="3">
        <v>78.0</v>
      </c>
      <c r="C2661" s="3">
        <v>60.0</v>
      </c>
      <c r="D2661" s="3">
        <v>0.0</v>
      </c>
      <c r="E2661" s="3">
        <v>0.0</v>
      </c>
      <c r="F2661" s="3">
        <v>0.0</v>
      </c>
      <c r="G2661" s="3">
        <v>0.0</v>
      </c>
      <c r="H2661" s="3">
        <v>0.0</v>
      </c>
      <c r="I2661" s="2" t="str">
        <f>IFERROR(__xludf.DUMMYFUNCTION("INDEX(SPLIT(A2661, ""/""), 0, 2)"),"regex")</f>
        <v>regex</v>
      </c>
      <c r="J2661" s="2" t="b">
        <f t="shared" si="1"/>
        <v>0</v>
      </c>
    </row>
    <row r="2662">
      <c r="A2662" s="1" t="s">
        <v>2016</v>
      </c>
      <c r="B2662" s="3">
        <v>40.0</v>
      </c>
      <c r="C2662" s="3">
        <v>60.0</v>
      </c>
      <c r="D2662" s="3">
        <v>0.0</v>
      </c>
      <c r="E2662" s="3">
        <v>0.0</v>
      </c>
      <c r="F2662" s="3">
        <v>0.0</v>
      </c>
      <c r="G2662" s="3">
        <v>0.0</v>
      </c>
      <c r="H2662" s="3">
        <v>0.0</v>
      </c>
      <c r="I2662" s="2" t="str">
        <f>IFERROR(__xludf.DUMMYFUNCTION("INDEX(SPLIT(A2662, ""/""), 0, 2)"),"regex")</f>
        <v>regex</v>
      </c>
      <c r="J2662" s="2" t="b">
        <f t="shared" si="1"/>
        <v>0</v>
      </c>
    </row>
    <row r="2663">
      <c r="A2663" s="1" t="s">
        <v>2017</v>
      </c>
      <c r="B2663" s="3">
        <v>59.0</v>
      </c>
      <c r="C2663" s="3">
        <v>60.0</v>
      </c>
      <c r="D2663" s="3">
        <v>0.0</v>
      </c>
      <c r="E2663" s="3">
        <v>0.0</v>
      </c>
      <c r="F2663" s="3">
        <v>0.0</v>
      </c>
      <c r="G2663" s="3">
        <v>0.0</v>
      </c>
      <c r="H2663" s="3">
        <v>0.0</v>
      </c>
      <c r="I2663" s="2" t="str">
        <f>IFERROR(__xludf.DUMMYFUNCTION("INDEX(SPLIT(A2663, ""/""), 0, 2)"),"regex")</f>
        <v>regex</v>
      </c>
      <c r="J2663" s="2" t="b">
        <f t="shared" si="1"/>
        <v>0</v>
      </c>
    </row>
    <row r="2664">
      <c r="A2664" s="1" t="s">
        <v>2018</v>
      </c>
      <c r="B2664" s="3">
        <v>178.0</v>
      </c>
      <c r="C2664" s="3">
        <v>60.0</v>
      </c>
      <c r="D2664" s="3">
        <v>1.0</v>
      </c>
      <c r="E2664" s="3">
        <v>0.0</v>
      </c>
      <c r="F2664" s="3">
        <v>0.0</v>
      </c>
      <c r="G2664" s="3">
        <v>1.0</v>
      </c>
      <c r="H2664" s="3">
        <v>0.0</v>
      </c>
      <c r="I2664" s="2" t="str">
        <f>IFERROR(__xludf.DUMMYFUNCTION("INDEX(SPLIT(A2664, ""/""), 0, 2)"),"regex")</f>
        <v>regex</v>
      </c>
      <c r="J2664" s="2" t="b">
        <f t="shared" si="1"/>
        <v>0</v>
      </c>
    </row>
    <row r="2665">
      <c r="A2665" s="1" t="s">
        <v>2019</v>
      </c>
      <c r="B2665" s="3">
        <v>54.0</v>
      </c>
      <c r="C2665" s="3">
        <v>60.0</v>
      </c>
      <c r="D2665" s="3">
        <v>0.0</v>
      </c>
      <c r="E2665" s="3">
        <v>0.0</v>
      </c>
      <c r="F2665" s="3">
        <v>0.0</v>
      </c>
      <c r="G2665" s="3">
        <v>0.0</v>
      </c>
      <c r="H2665" s="3">
        <v>0.0</v>
      </c>
      <c r="I2665" s="2" t="str">
        <f>IFERROR(__xludf.DUMMYFUNCTION("INDEX(SPLIT(A2665, ""/""), 0, 2)"),"regex")</f>
        <v>regex</v>
      </c>
      <c r="J2665" s="2" t="b">
        <f t="shared" si="1"/>
        <v>0</v>
      </c>
    </row>
    <row r="2666">
      <c r="A2666" s="1" t="s">
        <v>2020</v>
      </c>
      <c r="B2666" s="3">
        <v>34.0</v>
      </c>
      <c r="C2666" s="3">
        <v>60.0</v>
      </c>
      <c r="D2666" s="3">
        <v>0.0</v>
      </c>
      <c r="E2666" s="3">
        <v>0.0</v>
      </c>
      <c r="F2666" s="3">
        <v>0.0</v>
      </c>
      <c r="G2666" s="3">
        <v>0.0</v>
      </c>
      <c r="H2666" s="3">
        <v>0.0</v>
      </c>
      <c r="I2666" s="2" t="str">
        <f>IFERROR(__xludf.DUMMYFUNCTION("INDEX(SPLIT(A2666, ""/""), 0, 2)"),"regex")</f>
        <v>regex</v>
      </c>
      <c r="J2666" s="2" t="b">
        <f t="shared" si="1"/>
        <v>0</v>
      </c>
    </row>
    <row r="2667">
      <c r="A2667" s="1" t="s">
        <v>2021</v>
      </c>
      <c r="B2667" s="3">
        <v>55.0</v>
      </c>
      <c r="C2667" s="3">
        <v>60.0</v>
      </c>
      <c r="D2667" s="3">
        <v>0.0</v>
      </c>
      <c r="E2667" s="3">
        <v>0.0</v>
      </c>
      <c r="F2667" s="3">
        <v>0.0</v>
      </c>
      <c r="G2667" s="3">
        <v>0.0</v>
      </c>
      <c r="H2667" s="3">
        <v>0.0</v>
      </c>
      <c r="I2667" s="2" t="str">
        <f>IFERROR(__xludf.DUMMYFUNCTION("INDEX(SPLIT(A2667, ""/""), 0, 2)"),"regex")</f>
        <v>regex</v>
      </c>
      <c r="J2667" s="2" t="b">
        <f t="shared" si="1"/>
        <v>0</v>
      </c>
    </row>
    <row r="2668">
      <c r="A2668" s="1" t="s">
        <v>2022</v>
      </c>
      <c r="B2668" s="3">
        <v>25.0</v>
      </c>
      <c r="C2668" s="3">
        <v>60.0</v>
      </c>
      <c r="D2668" s="3">
        <v>0.0</v>
      </c>
      <c r="E2668" s="3">
        <v>0.0</v>
      </c>
      <c r="F2668" s="3">
        <v>0.0</v>
      </c>
      <c r="G2668" s="3">
        <v>0.0</v>
      </c>
      <c r="H2668" s="3">
        <v>0.0</v>
      </c>
      <c r="I2668" s="2" t="str">
        <f>IFERROR(__xludf.DUMMYFUNCTION("INDEX(SPLIT(A2668, ""/""), 0, 2)"),"regex")</f>
        <v>regex</v>
      </c>
      <c r="J2668" s="2" t="b">
        <f t="shared" si="1"/>
        <v>0</v>
      </c>
    </row>
    <row r="2669">
      <c r="A2669" s="1" t="s">
        <v>2023</v>
      </c>
      <c r="B2669" s="3">
        <v>264.0</v>
      </c>
      <c r="C2669" s="3">
        <v>60.0</v>
      </c>
      <c r="D2669" s="3">
        <v>1.0</v>
      </c>
      <c r="E2669" s="3">
        <v>0.0</v>
      </c>
      <c r="F2669" s="3">
        <v>0.0</v>
      </c>
      <c r="G2669" s="3">
        <v>0.0</v>
      </c>
      <c r="H2669" s="3">
        <v>0.0</v>
      </c>
      <c r="I2669" s="2" t="str">
        <f>IFERROR(__xludf.DUMMYFUNCTION("INDEX(SPLIT(A2669, ""/""), 0, 2)"),"regex")</f>
        <v>regex</v>
      </c>
      <c r="J2669" s="2" t="b">
        <f t="shared" si="1"/>
        <v>0</v>
      </c>
    </row>
    <row r="2670">
      <c r="A2670" s="1" t="s">
        <v>2024</v>
      </c>
      <c r="B2670" s="3">
        <v>31.0</v>
      </c>
      <c r="C2670" s="3">
        <v>60.0</v>
      </c>
      <c r="D2670" s="3">
        <v>0.0</v>
      </c>
      <c r="E2670" s="3">
        <v>0.0</v>
      </c>
      <c r="F2670" s="3">
        <v>0.0</v>
      </c>
      <c r="G2670" s="3">
        <v>0.0</v>
      </c>
      <c r="H2670" s="3">
        <v>0.0</v>
      </c>
      <c r="I2670" s="2" t="str">
        <f>IFERROR(__xludf.DUMMYFUNCTION("INDEX(SPLIT(A2670, ""/""), 0, 2)"),"regex")</f>
        <v>regex</v>
      </c>
      <c r="J2670" s="2" t="b">
        <f t="shared" si="1"/>
        <v>0</v>
      </c>
    </row>
    <row r="2671">
      <c r="A2671" s="1" t="s">
        <v>2025</v>
      </c>
      <c r="B2671" s="3">
        <v>30.0</v>
      </c>
      <c r="C2671" s="3">
        <v>60.0</v>
      </c>
      <c r="D2671" s="3">
        <v>0.0</v>
      </c>
      <c r="E2671" s="3">
        <v>0.0</v>
      </c>
      <c r="F2671" s="3">
        <v>0.0</v>
      </c>
      <c r="G2671" s="3">
        <v>0.0</v>
      </c>
      <c r="H2671" s="3">
        <v>0.0</v>
      </c>
      <c r="I2671" s="2" t="str">
        <f>IFERROR(__xludf.DUMMYFUNCTION("INDEX(SPLIT(A2671, ""/""), 0, 2)"),"regex")</f>
        <v>regex</v>
      </c>
      <c r="J2671" s="2" t="b">
        <f t="shared" si="1"/>
        <v>0</v>
      </c>
    </row>
    <row r="2672">
      <c r="A2672" s="1" t="s">
        <v>2026</v>
      </c>
      <c r="B2672" s="3">
        <v>32.0</v>
      </c>
      <c r="C2672" s="3">
        <v>60.0</v>
      </c>
      <c r="D2672" s="3">
        <v>0.0</v>
      </c>
      <c r="E2672" s="3">
        <v>0.0</v>
      </c>
      <c r="F2672" s="3">
        <v>0.0</v>
      </c>
      <c r="G2672" s="3">
        <v>0.0</v>
      </c>
      <c r="H2672" s="3">
        <v>0.0</v>
      </c>
      <c r="I2672" s="2" t="str">
        <f>IFERROR(__xludf.DUMMYFUNCTION("INDEX(SPLIT(A2672, ""/""), 0, 2)"),"regex")</f>
        <v>regex</v>
      </c>
      <c r="J2672" s="2" t="b">
        <f t="shared" si="1"/>
        <v>0</v>
      </c>
    </row>
    <row r="2673">
      <c r="A2673" s="1" t="s">
        <v>2027</v>
      </c>
      <c r="B2673" s="3">
        <v>9.0</v>
      </c>
      <c r="C2673" s="3">
        <v>60.0</v>
      </c>
      <c r="D2673" s="3">
        <v>0.0</v>
      </c>
      <c r="E2673" s="3">
        <v>0.0</v>
      </c>
      <c r="F2673" s="3">
        <v>0.0</v>
      </c>
      <c r="G2673" s="3">
        <v>0.0</v>
      </c>
      <c r="H2673" s="3">
        <v>0.0</v>
      </c>
      <c r="I2673" s="2" t="str">
        <f>IFERROR(__xludf.DUMMYFUNCTION("INDEX(SPLIT(A2673, ""/""), 0, 2)"),"regex")</f>
        <v>regex</v>
      </c>
      <c r="J2673" s="2" t="b">
        <f t="shared" si="1"/>
        <v>0</v>
      </c>
    </row>
    <row r="2674">
      <c r="A2674" s="1" t="s">
        <v>2028</v>
      </c>
      <c r="B2674" s="3">
        <v>25.0</v>
      </c>
      <c r="C2674" s="3">
        <v>60.0</v>
      </c>
      <c r="D2674" s="3">
        <v>0.0</v>
      </c>
      <c r="E2674" s="3">
        <v>0.0</v>
      </c>
      <c r="F2674" s="3">
        <v>0.0</v>
      </c>
      <c r="G2674" s="3">
        <v>0.0</v>
      </c>
      <c r="H2674" s="3">
        <v>0.0</v>
      </c>
      <c r="I2674" s="2" t="str">
        <f>IFERROR(__xludf.DUMMYFUNCTION("INDEX(SPLIT(A2674, ""/""), 0, 2)"),"regex")</f>
        <v>regex</v>
      </c>
      <c r="J2674" s="2" t="b">
        <f t="shared" si="1"/>
        <v>0</v>
      </c>
    </row>
    <row r="2675">
      <c r="A2675" s="1" t="s">
        <v>2029</v>
      </c>
      <c r="B2675" s="3">
        <v>31.0</v>
      </c>
      <c r="C2675" s="3">
        <v>60.0</v>
      </c>
      <c r="D2675" s="3">
        <v>0.0</v>
      </c>
      <c r="E2675" s="3">
        <v>0.0</v>
      </c>
      <c r="F2675" s="3">
        <v>0.0</v>
      </c>
      <c r="G2675" s="3">
        <v>0.0</v>
      </c>
      <c r="H2675" s="3">
        <v>0.0</v>
      </c>
      <c r="I2675" s="2" t="str">
        <f>IFERROR(__xludf.DUMMYFUNCTION("INDEX(SPLIT(A2675, ""/""), 0, 2)"),"regex")</f>
        <v>regex</v>
      </c>
      <c r="J2675" s="2" t="b">
        <f t="shared" si="1"/>
        <v>0</v>
      </c>
    </row>
    <row r="2676">
      <c r="A2676" s="1" t="s">
        <v>2030</v>
      </c>
      <c r="B2676" s="3">
        <v>68.0</v>
      </c>
      <c r="C2676" s="3">
        <v>60.0</v>
      </c>
      <c r="D2676" s="3">
        <v>0.0</v>
      </c>
      <c r="E2676" s="3">
        <v>0.0</v>
      </c>
      <c r="F2676" s="3">
        <v>0.0</v>
      </c>
      <c r="G2676" s="3">
        <v>0.0</v>
      </c>
      <c r="H2676" s="3">
        <v>0.0</v>
      </c>
      <c r="I2676" s="2" t="str">
        <f>IFERROR(__xludf.DUMMYFUNCTION("INDEX(SPLIT(A2676, ""/""), 0, 2)"),"regex")</f>
        <v>regex</v>
      </c>
      <c r="J2676" s="2" t="b">
        <f t="shared" si="1"/>
        <v>0</v>
      </c>
    </row>
    <row r="2677">
      <c r="A2677" s="1" t="s">
        <v>2031</v>
      </c>
      <c r="B2677" s="3">
        <v>74.0</v>
      </c>
      <c r="C2677" s="3">
        <v>60.0</v>
      </c>
      <c r="D2677" s="3">
        <v>0.0</v>
      </c>
      <c r="E2677" s="3">
        <v>0.0</v>
      </c>
      <c r="F2677" s="3">
        <v>0.0</v>
      </c>
      <c r="G2677" s="3">
        <v>0.0</v>
      </c>
      <c r="H2677" s="3">
        <v>0.0</v>
      </c>
      <c r="I2677" s="2" t="str">
        <f>IFERROR(__xludf.DUMMYFUNCTION("INDEX(SPLIT(A2677, ""/""), 0, 2)"),"regex")</f>
        <v>regex</v>
      </c>
      <c r="J2677" s="2" t="b">
        <f t="shared" si="1"/>
        <v>0</v>
      </c>
    </row>
    <row r="2678">
      <c r="A2678" s="1" t="s">
        <v>2032</v>
      </c>
      <c r="B2678" s="3">
        <v>102.0</v>
      </c>
      <c r="C2678" s="3">
        <v>60.0</v>
      </c>
      <c r="D2678" s="3">
        <v>0.0</v>
      </c>
      <c r="E2678" s="3">
        <v>0.0</v>
      </c>
      <c r="F2678" s="3">
        <v>0.0</v>
      </c>
      <c r="G2678" s="3">
        <v>0.0</v>
      </c>
      <c r="H2678" s="3">
        <v>0.0</v>
      </c>
      <c r="I2678" s="2" t="str">
        <f>IFERROR(__xludf.DUMMYFUNCTION("INDEX(SPLIT(A2678, ""/""), 0, 2)"),"regex")</f>
        <v>regex</v>
      </c>
      <c r="J2678" s="2" t="b">
        <f t="shared" si="1"/>
        <v>0</v>
      </c>
    </row>
    <row r="2679">
      <c r="A2679" s="1" t="s">
        <v>2033</v>
      </c>
      <c r="B2679" s="3">
        <v>4.0</v>
      </c>
      <c r="C2679" s="3">
        <v>60.0</v>
      </c>
      <c r="D2679" s="3">
        <v>0.0</v>
      </c>
      <c r="E2679" s="3">
        <v>0.0</v>
      </c>
      <c r="F2679" s="3">
        <v>0.0</v>
      </c>
      <c r="G2679" s="3">
        <v>0.0</v>
      </c>
      <c r="H2679" s="3">
        <v>0.0</v>
      </c>
      <c r="I2679" s="2" t="str">
        <f>IFERROR(__xludf.DUMMYFUNCTION("INDEX(SPLIT(A2679, ""/""), 0, 2)"),"regex")</f>
        <v>regex</v>
      </c>
      <c r="J2679" s="2" t="b">
        <f t="shared" si="1"/>
        <v>0</v>
      </c>
    </row>
    <row r="2680">
      <c r="A2680" s="1" t="s">
        <v>2034</v>
      </c>
      <c r="B2680" s="3">
        <v>44.0</v>
      </c>
      <c r="C2680" s="3">
        <v>60.0</v>
      </c>
      <c r="D2680" s="3">
        <v>0.0</v>
      </c>
      <c r="E2680" s="3">
        <v>0.0</v>
      </c>
      <c r="F2680" s="3">
        <v>0.0</v>
      </c>
      <c r="G2680" s="3">
        <v>0.0</v>
      </c>
      <c r="H2680" s="3">
        <v>0.0</v>
      </c>
      <c r="I2680" s="2" t="str">
        <f>IFERROR(__xludf.DUMMYFUNCTION("INDEX(SPLIT(A2680, ""/""), 0, 2)"),"regex")</f>
        <v>regex</v>
      </c>
      <c r="J2680" s="2" t="b">
        <f t="shared" si="1"/>
        <v>0</v>
      </c>
    </row>
    <row r="2681">
      <c r="A2681" s="1" t="s">
        <v>2035</v>
      </c>
      <c r="B2681" s="3">
        <v>1010.0</v>
      </c>
      <c r="C2681" s="3">
        <v>60.0</v>
      </c>
      <c r="D2681" s="3">
        <v>52.0</v>
      </c>
      <c r="E2681" s="3">
        <v>0.0</v>
      </c>
      <c r="F2681" s="3">
        <v>1.0</v>
      </c>
      <c r="G2681" s="3">
        <v>2.0</v>
      </c>
      <c r="H2681" s="3">
        <v>0.0</v>
      </c>
      <c r="I2681" s="2" t="str">
        <f>IFERROR(__xludf.DUMMYFUNCTION("INDEX(SPLIT(A2681, ""/""), 0, 2)"),"regex")</f>
        <v>regex</v>
      </c>
      <c r="J2681" s="2" t="b">
        <f t="shared" si="1"/>
        <v>1</v>
      </c>
    </row>
    <row r="2682">
      <c r="A2682" s="1" t="s">
        <v>2036</v>
      </c>
      <c r="B2682" s="3">
        <v>138.0</v>
      </c>
      <c r="C2682" s="3">
        <v>60.0</v>
      </c>
      <c r="D2682" s="3">
        <v>0.0</v>
      </c>
      <c r="E2682" s="3">
        <v>0.0</v>
      </c>
      <c r="F2682" s="3">
        <v>0.0</v>
      </c>
      <c r="G2682" s="3">
        <v>0.0</v>
      </c>
      <c r="H2682" s="3">
        <v>0.0</v>
      </c>
      <c r="I2682" s="2" t="str">
        <f>IFERROR(__xludf.DUMMYFUNCTION("INDEX(SPLIT(A2682, ""/""), 0, 2)"),"regex")</f>
        <v>regex</v>
      </c>
      <c r="J2682" s="2" t="b">
        <f t="shared" si="1"/>
        <v>0</v>
      </c>
    </row>
    <row r="2683">
      <c r="A2683" s="1" t="s">
        <v>2037</v>
      </c>
      <c r="B2683" s="3">
        <v>6.0</v>
      </c>
      <c r="C2683" s="3">
        <v>60.0</v>
      </c>
      <c r="D2683" s="3">
        <v>0.0</v>
      </c>
      <c r="E2683" s="3">
        <v>0.0</v>
      </c>
      <c r="F2683" s="3">
        <v>0.0</v>
      </c>
      <c r="G2683" s="3">
        <v>0.0</v>
      </c>
      <c r="H2683" s="3">
        <v>0.0</v>
      </c>
      <c r="I2683" s="2" t="str">
        <f>IFERROR(__xludf.DUMMYFUNCTION("INDEX(SPLIT(A2683, ""/""), 0, 2)"),"regex")</f>
        <v>regex</v>
      </c>
      <c r="J2683" s="2" t="b">
        <f t="shared" si="1"/>
        <v>0</v>
      </c>
    </row>
    <row r="2684">
      <c r="A2684" s="1" t="s">
        <v>2038</v>
      </c>
      <c r="B2684" s="3">
        <v>113.0</v>
      </c>
      <c r="C2684" s="3">
        <v>60.0</v>
      </c>
      <c r="D2684" s="3">
        <v>0.0</v>
      </c>
      <c r="E2684" s="3">
        <v>0.0</v>
      </c>
      <c r="F2684" s="3">
        <v>0.0</v>
      </c>
      <c r="G2684" s="3">
        <v>0.0</v>
      </c>
      <c r="H2684" s="3">
        <v>0.0</v>
      </c>
      <c r="I2684" s="2" t="str">
        <f>IFERROR(__xludf.DUMMYFUNCTION("INDEX(SPLIT(A2684, ""/""), 0, 2)"),"regex")</f>
        <v>regex</v>
      </c>
      <c r="J2684" s="2" t="b">
        <f t="shared" si="1"/>
        <v>0</v>
      </c>
    </row>
    <row r="2685">
      <c r="A2685" s="1" t="s">
        <v>2039</v>
      </c>
      <c r="B2685" s="3">
        <v>68.0</v>
      </c>
      <c r="C2685" s="3">
        <v>60.0</v>
      </c>
      <c r="D2685" s="3">
        <v>0.0</v>
      </c>
      <c r="E2685" s="3">
        <v>0.0</v>
      </c>
      <c r="F2685" s="3">
        <v>0.0</v>
      </c>
      <c r="G2685" s="3">
        <v>0.0</v>
      </c>
      <c r="H2685" s="3">
        <v>0.0</v>
      </c>
      <c r="I2685" s="2" t="str">
        <f>IFERROR(__xludf.DUMMYFUNCTION("INDEX(SPLIT(A2685, ""/""), 0, 2)"),"regex")</f>
        <v>regex</v>
      </c>
      <c r="J2685" s="2" t="b">
        <f t="shared" si="1"/>
        <v>0</v>
      </c>
    </row>
    <row r="2686">
      <c r="A2686" s="1" t="s">
        <v>2040</v>
      </c>
      <c r="B2686" s="3">
        <v>12.0</v>
      </c>
      <c r="C2686" s="3">
        <v>60.0</v>
      </c>
      <c r="D2686" s="3">
        <v>0.0</v>
      </c>
      <c r="E2686" s="3">
        <v>0.0</v>
      </c>
      <c r="F2686" s="3">
        <v>0.0</v>
      </c>
      <c r="G2686" s="3">
        <v>0.0</v>
      </c>
      <c r="H2686" s="3">
        <v>0.0</v>
      </c>
      <c r="I2686" s="2" t="str">
        <f>IFERROR(__xludf.DUMMYFUNCTION("INDEX(SPLIT(A2686, ""/""), 0, 2)"),"regex")</f>
        <v>regex</v>
      </c>
      <c r="J2686" s="2" t="b">
        <f t="shared" si="1"/>
        <v>0</v>
      </c>
    </row>
    <row r="2687">
      <c r="A2687" s="1" t="s">
        <v>2041</v>
      </c>
      <c r="B2687" s="3">
        <v>214.0</v>
      </c>
      <c r="C2687" s="3">
        <v>60.0</v>
      </c>
      <c r="D2687" s="3">
        <v>0.0</v>
      </c>
      <c r="E2687" s="3">
        <v>0.0</v>
      </c>
      <c r="F2687" s="3">
        <v>0.0</v>
      </c>
      <c r="G2687" s="3">
        <v>0.0</v>
      </c>
      <c r="H2687" s="3">
        <v>0.0</v>
      </c>
      <c r="I2687" s="2" t="str">
        <f>IFERROR(__xludf.DUMMYFUNCTION("INDEX(SPLIT(A2687, ""/""), 0, 2)"),"regex")</f>
        <v>regex</v>
      </c>
      <c r="J2687" s="2" t="b">
        <f t="shared" si="1"/>
        <v>0</v>
      </c>
    </row>
    <row r="2688">
      <c r="A2688" s="1" t="s">
        <v>2042</v>
      </c>
      <c r="B2688" s="3">
        <v>12.0</v>
      </c>
      <c r="C2688" s="3">
        <v>60.0</v>
      </c>
      <c r="D2688" s="3">
        <v>0.0</v>
      </c>
      <c r="E2688" s="3">
        <v>0.0</v>
      </c>
      <c r="F2688" s="3">
        <v>0.0</v>
      </c>
      <c r="G2688" s="3">
        <v>0.0</v>
      </c>
      <c r="H2688" s="3">
        <v>0.0</v>
      </c>
      <c r="I2688" s="2" t="str">
        <f>IFERROR(__xludf.DUMMYFUNCTION("INDEX(SPLIT(A2688, ""/""), 0, 2)"),"regex")</f>
        <v>regex</v>
      </c>
      <c r="J2688" s="2" t="b">
        <f t="shared" si="1"/>
        <v>0</v>
      </c>
    </row>
    <row r="2689">
      <c r="A2689" s="1" t="s">
        <v>2043</v>
      </c>
      <c r="B2689" s="3">
        <v>10.0</v>
      </c>
      <c r="C2689" s="3">
        <v>60.0</v>
      </c>
      <c r="D2689" s="3">
        <v>0.0</v>
      </c>
      <c r="E2689" s="3">
        <v>0.0</v>
      </c>
      <c r="F2689" s="3">
        <v>0.0</v>
      </c>
      <c r="G2689" s="3">
        <v>0.0</v>
      </c>
      <c r="H2689" s="3">
        <v>0.0</v>
      </c>
      <c r="I2689" s="2" t="str">
        <f>IFERROR(__xludf.DUMMYFUNCTION("INDEX(SPLIT(A2689, ""/""), 0, 2)"),"regex")</f>
        <v>regex</v>
      </c>
      <c r="J2689" s="2" t="b">
        <f t="shared" si="1"/>
        <v>0</v>
      </c>
    </row>
    <row r="2690">
      <c r="A2690" s="1" t="s">
        <v>2044</v>
      </c>
      <c r="B2690" s="3">
        <v>32.0</v>
      </c>
      <c r="C2690" s="3">
        <v>60.0</v>
      </c>
      <c r="D2690" s="3">
        <v>0.0</v>
      </c>
      <c r="E2690" s="3">
        <v>0.0</v>
      </c>
      <c r="F2690" s="3">
        <v>0.0</v>
      </c>
      <c r="G2690" s="3">
        <v>0.0</v>
      </c>
      <c r="H2690" s="3">
        <v>0.0</v>
      </c>
      <c r="I2690" s="2" t="str">
        <f>IFERROR(__xludf.DUMMYFUNCTION("INDEX(SPLIT(A2690, ""/""), 0, 2)"),"regex")</f>
        <v>regex</v>
      </c>
      <c r="J2690" s="2" t="b">
        <f t="shared" si="1"/>
        <v>0</v>
      </c>
    </row>
    <row r="2691">
      <c r="A2691" s="1" t="s">
        <v>2045</v>
      </c>
      <c r="B2691" s="3">
        <v>51.0</v>
      </c>
      <c r="C2691" s="3">
        <v>60.0</v>
      </c>
      <c r="D2691" s="3">
        <v>0.0</v>
      </c>
      <c r="E2691" s="3">
        <v>0.0</v>
      </c>
      <c r="F2691" s="3">
        <v>0.0</v>
      </c>
      <c r="G2691" s="3">
        <v>0.0</v>
      </c>
      <c r="H2691" s="3">
        <v>0.0</v>
      </c>
      <c r="I2691" s="2" t="str">
        <f>IFERROR(__xludf.DUMMYFUNCTION("INDEX(SPLIT(A2691, ""/""), 0, 2)"),"regex")</f>
        <v>regex</v>
      </c>
      <c r="J2691" s="2" t="b">
        <f t="shared" si="1"/>
        <v>0</v>
      </c>
    </row>
    <row r="2692">
      <c r="A2692" s="1" t="s">
        <v>2046</v>
      </c>
      <c r="B2692" s="3">
        <v>34.0</v>
      </c>
      <c r="C2692" s="3">
        <v>60.0</v>
      </c>
      <c r="D2692" s="3">
        <v>0.0</v>
      </c>
      <c r="E2692" s="3">
        <v>0.0</v>
      </c>
      <c r="F2692" s="3">
        <v>0.0</v>
      </c>
      <c r="G2692" s="3">
        <v>0.0</v>
      </c>
      <c r="H2692" s="3">
        <v>0.0</v>
      </c>
      <c r="I2692" s="2" t="str">
        <f>IFERROR(__xludf.DUMMYFUNCTION("INDEX(SPLIT(A2692, ""/""), 0, 2)"),"regex")</f>
        <v>regex</v>
      </c>
      <c r="J2692" s="2" t="b">
        <f t="shared" si="1"/>
        <v>0</v>
      </c>
    </row>
    <row r="2693">
      <c r="A2693" s="1" t="s">
        <v>2047</v>
      </c>
      <c r="B2693" s="3">
        <v>79.0</v>
      </c>
      <c r="C2693" s="3">
        <v>60.0</v>
      </c>
      <c r="D2693" s="3">
        <v>0.0</v>
      </c>
      <c r="E2693" s="3">
        <v>0.0</v>
      </c>
      <c r="F2693" s="3">
        <v>0.0</v>
      </c>
      <c r="G2693" s="3">
        <v>0.0</v>
      </c>
      <c r="H2693" s="3">
        <v>0.0</v>
      </c>
      <c r="I2693" s="2" t="str">
        <f>IFERROR(__xludf.DUMMYFUNCTION("INDEX(SPLIT(A2693, ""/""), 0, 2)"),"regex")</f>
        <v>regex</v>
      </c>
      <c r="J2693" s="2" t="b">
        <f t="shared" si="1"/>
        <v>0</v>
      </c>
    </row>
    <row r="2694">
      <c r="A2694" s="1" t="s">
        <v>2048</v>
      </c>
      <c r="B2694" s="3">
        <v>132.0</v>
      </c>
      <c r="C2694" s="3">
        <v>60.0</v>
      </c>
      <c r="D2694" s="3">
        <v>0.0</v>
      </c>
      <c r="E2694" s="3">
        <v>0.0</v>
      </c>
      <c r="F2694" s="3">
        <v>0.0</v>
      </c>
      <c r="G2694" s="3">
        <v>0.0</v>
      </c>
      <c r="H2694" s="3">
        <v>0.0</v>
      </c>
      <c r="I2694" s="2" t="str">
        <f>IFERROR(__xludf.DUMMYFUNCTION("INDEX(SPLIT(A2694, ""/""), 0, 2)"),"regex")</f>
        <v>regex</v>
      </c>
      <c r="J2694" s="2" t="b">
        <f t="shared" si="1"/>
        <v>0</v>
      </c>
    </row>
    <row r="2695">
      <c r="A2695" s="1" t="s">
        <v>2049</v>
      </c>
      <c r="B2695" s="3">
        <v>25.0</v>
      </c>
      <c r="C2695" s="3">
        <v>60.0</v>
      </c>
      <c r="D2695" s="3">
        <v>0.0</v>
      </c>
      <c r="E2695" s="3">
        <v>0.0</v>
      </c>
      <c r="F2695" s="3">
        <v>0.0</v>
      </c>
      <c r="G2695" s="3">
        <v>0.0</v>
      </c>
      <c r="H2695" s="3">
        <v>0.0</v>
      </c>
      <c r="I2695" s="2" t="str">
        <f>IFERROR(__xludf.DUMMYFUNCTION("INDEX(SPLIT(A2695, ""/""), 0, 2)"),"regex")</f>
        <v>regex</v>
      </c>
      <c r="J2695" s="2" t="b">
        <f t="shared" si="1"/>
        <v>0</v>
      </c>
    </row>
    <row r="2696">
      <c r="A2696" s="1" t="s">
        <v>2050</v>
      </c>
      <c r="B2696" s="3">
        <v>5.0</v>
      </c>
      <c r="C2696" s="3">
        <v>60.0</v>
      </c>
      <c r="D2696" s="3">
        <v>0.0</v>
      </c>
      <c r="E2696" s="3">
        <v>0.0</v>
      </c>
      <c r="F2696" s="3">
        <v>0.0</v>
      </c>
      <c r="G2696" s="3">
        <v>0.0</v>
      </c>
      <c r="H2696" s="3">
        <v>0.0</v>
      </c>
      <c r="I2696" s="2" t="str">
        <f>IFERROR(__xludf.DUMMYFUNCTION("INDEX(SPLIT(A2696, ""/""), 0, 2)"),"regex")</f>
        <v>regex</v>
      </c>
      <c r="J2696" s="2" t="b">
        <f t="shared" si="1"/>
        <v>0</v>
      </c>
    </row>
    <row r="2697">
      <c r="A2697" s="1" t="s">
        <v>2051</v>
      </c>
      <c r="B2697" s="3">
        <v>23.0</v>
      </c>
      <c r="C2697" s="3">
        <v>60.0</v>
      </c>
      <c r="D2697" s="3">
        <v>0.0</v>
      </c>
      <c r="E2697" s="3">
        <v>0.0</v>
      </c>
      <c r="F2697" s="3">
        <v>0.0</v>
      </c>
      <c r="G2697" s="3">
        <v>0.0</v>
      </c>
      <c r="H2697" s="3">
        <v>0.0</v>
      </c>
      <c r="I2697" s="2" t="str">
        <f>IFERROR(__xludf.DUMMYFUNCTION("INDEX(SPLIT(A2697, ""/""), 0, 2)"),"regex")</f>
        <v>regex</v>
      </c>
      <c r="J2697" s="2" t="b">
        <f t="shared" si="1"/>
        <v>0</v>
      </c>
    </row>
    <row r="2698">
      <c r="A2698" s="1" t="s">
        <v>2052</v>
      </c>
      <c r="B2698" s="3">
        <v>4.0</v>
      </c>
      <c r="C2698" s="3">
        <v>60.0</v>
      </c>
      <c r="D2698" s="3">
        <v>0.0</v>
      </c>
      <c r="E2698" s="3">
        <v>0.0</v>
      </c>
      <c r="F2698" s="3">
        <v>0.0</v>
      </c>
      <c r="G2698" s="3">
        <v>0.0</v>
      </c>
      <c r="H2698" s="3">
        <v>0.0</v>
      </c>
      <c r="I2698" s="2" t="str">
        <f>IFERROR(__xludf.DUMMYFUNCTION("INDEX(SPLIT(A2698, ""/""), 0, 2)"),"regex")</f>
        <v>regex</v>
      </c>
      <c r="J2698" s="2" t="b">
        <f t="shared" si="1"/>
        <v>0</v>
      </c>
    </row>
    <row r="2699">
      <c r="A2699" s="1" t="s">
        <v>2053</v>
      </c>
      <c r="B2699" s="3">
        <v>16.0</v>
      </c>
      <c r="C2699" s="3">
        <v>60.0</v>
      </c>
      <c r="D2699" s="3">
        <v>0.0</v>
      </c>
      <c r="E2699" s="3">
        <v>0.0</v>
      </c>
      <c r="F2699" s="3">
        <v>0.0</v>
      </c>
      <c r="G2699" s="3">
        <v>0.0</v>
      </c>
      <c r="H2699" s="3">
        <v>0.0</v>
      </c>
      <c r="I2699" s="2" t="str">
        <f>IFERROR(__xludf.DUMMYFUNCTION("INDEX(SPLIT(A2699, ""/""), 0, 2)"),"regex")</f>
        <v>regex</v>
      </c>
      <c r="J2699" s="2" t="b">
        <f t="shared" si="1"/>
        <v>0</v>
      </c>
    </row>
    <row r="2700">
      <c r="A2700" s="1" t="s">
        <v>2054</v>
      </c>
      <c r="B2700" s="3">
        <v>95.0</v>
      </c>
      <c r="C2700" s="3">
        <v>60.0</v>
      </c>
      <c r="D2700" s="3">
        <v>0.0</v>
      </c>
      <c r="E2700" s="3">
        <v>0.0</v>
      </c>
      <c r="F2700" s="3">
        <v>0.0</v>
      </c>
      <c r="G2700" s="3">
        <v>0.0</v>
      </c>
      <c r="H2700" s="3">
        <v>0.0</v>
      </c>
      <c r="I2700" s="2" t="str">
        <f>IFERROR(__xludf.DUMMYFUNCTION("INDEX(SPLIT(A2700, ""/""), 0, 2)"),"regex")</f>
        <v>regex</v>
      </c>
      <c r="J2700" s="2" t="b">
        <f t="shared" si="1"/>
        <v>0</v>
      </c>
    </row>
    <row r="2701">
      <c r="A2701" s="1" t="s">
        <v>2055</v>
      </c>
      <c r="B2701" s="3">
        <v>7.0</v>
      </c>
      <c r="C2701" s="3">
        <v>60.0</v>
      </c>
      <c r="D2701" s="3">
        <v>0.0</v>
      </c>
      <c r="E2701" s="3">
        <v>0.0</v>
      </c>
      <c r="F2701" s="3">
        <v>0.0</v>
      </c>
      <c r="G2701" s="3">
        <v>0.0</v>
      </c>
      <c r="H2701" s="3">
        <v>0.0</v>
      </c>
      <c r="I2701" s="2" t="str">
        <f>IFERROR(__xludf.DUMMYFUNCTION("INDEX(SPLIT(A2701, ""/""), 0, 2)"),"regex")</f>
        <v>regex</v>
      </c>
      <c r="J2701" s="2" t="b">
        <f t="shared" si="1"/>
        <v>0</v>
      </c>
    </row>
    <row r="2702">
      <c r="A2702" s="1" t="s">
        <v>2056</v>
      </c>
      <c r="B2702" s="3">
        <v>10.0</v>
      </c>
      <c r="C2702" s="3">
        <v>60.0</v>
      </c>
      <c r="D2702" s="3">
        <v>0.0</v>
      </c>
      <c r="E2702" s="3">
        <v>0.0</v>
      </c>
      <c r="F2702" s="3">
        <v>0.0</v>
      </c>
      <c r="G2702" s="3">
        <v>0.0</v>
      </c>
      <c r="H2702" s="3">
        <v>0.0</v>
      </c>
      <c r="I2702" s="2" t="str">
        <f>IFERROR(__xludf.DUMMYFUNCTION("INDEX(SPLIT(A2702, ""/""), 0, 2)"),"regex")</f>
        <v>regex</v>
      </c>
      <c r="J2702" s="2" t="b">
        <f t="shared" si="1"/>
        <v>0</v>
      </c>
    </row>
    <row r="2703">
      <c r="A2703" s="1" t="s">
        <v>2057</v>
      </c>
      <c r="B2703" s="3">
        <v>25.0</v>
      </c>
      <c r="C2703" s="3">
        <v>60.0</v>
      </c>
      <c r="D2703" s="3">
        <v>0.0</v>
      </c>
      <c r="E2703" s="3">
        <v>0.0</v>
      </c>
      <c r="F2703" s="3">
        <v>0.0</v>
      </c>
      <c r="G2703" s="3">
        <v>0.0</v>
      </c>
      <c r="H2703" s="3">
        <v>0.0</v>
      </c>
      <c r="I2703" s="2" t="str">
        <f>IFERROR(__xludf.DUMMYFUNCTION("INDEX(SPLIT(A2703, ""/""), 0, 2)"),"regex")</f>
        <v>regex</v>
      </c>
      <c r="J2703" s="2" t="b">
        <f t="shared" si="1"/>
        <v>0</v>
      </c>
    </row>
    <row r="2704">
      <c r="A2704" s="1" t="s">
        <v>2058</v>
      </c>
      <c r="B2704" s="3">
        <v>32.0</v>
      </c>
      <c r="C2704" s="3">
        <v>60.0</v>
      </c>
      <c r="D2704" s="3">
        <v>0.0</v>
      </c>
      <c r="E2704" s="3">
        <v>0.0</v>
      </c>
      <c r="F2704" s="3">
        <v>0.0</v>
      </c>
      <c r="G2704" s="3">
        <v>0.0</v>
      </c>
      <c r="H2704" s="3">
        <v>0.0</v>
      </c>
      <c r="I2704" s="2" t="str">
        <f>IFERROR(__xludf.DUMMYFUNCTION("INDEX(SPLIT(A2704, ""/""), 0, 2)"),"regex")</f>
        <v>regex</v>
      </c>
      <c r="J2704" s="2" t="b">
        <f t="shared" si="1"/>
        <v>0</v>
      </c>
    </row>
    <row r="2705">
      <c r="A2705" s="1" t="s">
        <v>2059</v>
      </c>
      <c r="B2705" s="3">
        <v>10.0</v>
      </c>
      <c r="C2705" s="3">
        <v>60.0</v>
      </c>
      <c r="D2705" s="3">
        <v>0.0</v>
      </c>
      <c r="E2705" s="3">
        <v>0.0</v>
      </c>
      <c r="F2705" s="3">
        <v>0.0</v>
      </c>
      <c r="G2705" s="3">
        <v>0.0</v>
      </c>
      <c r="H2705" s="3">
        <v>0.0</v>
      </c>
      <c r="I2705" s="2" t="str">
        <f>IFERROR(__xludf.DUMMYFUNCTION("INDEX(SPLIT(A2705, ""/""), 0, 2)"),"regex")</f>
        <v>regex</v>
      </c>
      <c r="J2705" s="2" t="b">
        <f t="shared" si="1"/>
        <v>0</v>
      </c>
    </row>
    <row r="2706">
      <c r="A2706" s="1" t="s">
        <v>2060</v>
      </c>
      <c r="B2706" s="3">
        <v>37.0</v>
      </c>
      <c r="C2706" s="3">
        <v>60.0</v>
      </c>
      <c r="D2706" s="3">
        <v>0.0</v>
      </c>
      <c r="E2706" s="3">
        <v>0.0</v>
      </c>
      <c r="F2706" s="3">
        <v>0.0</v>
      </c>
      <c r="G2706" s="3">
        <v>0.0</v>
      </c>
      <c r="H2706" s="3">
        <v>0.0</v>
      </c>
      <c r="I2706" s="2" t="str">
        <f>IFERROR(__xludf.DUMMYFUNCTION("INDEX(SPLIT(A2706, ""/""), 0, 2)"),"regex")</f>
        <v>regex</v>
      </c>
      <c r="J2706" s="2" t="b">
        <f t="shared" si="1"/>
        <v>0</v>
      </c>
    </row>
    <row r="2707">
      <c r="A2707" s="1" t="s">
        <v>2061</v>
      </c>
      <c r="B2707" s="3">
        <v>42.0</v>
      </c>
      <c r="C2707" s="3">
        <v>60.0</v>
      </c>
      <c r="D2707" s="3">
        <v>0.0</v>
      </c>
      <c r="E2707" s="3">
        <v>0.0</v>
      </c>
      <c r="F2707" s="3">
        <v>0.0</v>
      </c>
      <c r="G2707" s="3">
        <v>0.0</v>
      </c>
      <c r="H2707" s="3">
        <v>0.0</v>
      </c>
      <c r="I2707" s="2" t="str">
        <f>IFERROR(__xludf.DUMMYFUNCTION("INDEX(SPLIT(A2707, ""/""), 0, 2)"),"regex")</f>
        <v>regex</v>
      </c>
      <c r="J2707" s="2" t="b">
        <f t="shared" si="1"/>
        <v>0</v>
      </c>
    </row>
    <row r="2708">
      <c r="A2708" s="1" t="s">
        <v>2062</v>
      </c>
      <c r="B2708" s="3">
        <v>8.0</v>
      </c>
      <c r="C2708" s="3">
        <v>60.0</v>
      </c>
      <c r="D2708" s="3">
        <v>0.0</v>
      </c>
      <c r="E2708" s="3">
        <v>0.0</v>
      </c>
      <c r="F2708" s="3">
        <v>0.0</v>
      </c>
      <c r="G2708" s="3">
        <v>0.0</v>
      </c>
      <c r="H2708" s="3">
        <v>0.0</v>
      </c>
      <c r="I2708" s="2" t="str">
        <f>IFERROR(__xludf.DUMMYFUNCTION("INDEX(SPLIT(A2708, ""/""), 0, 2)"),"regex")</f>
        <v>regex</v>
      </c>
      <c r="J2708" s="2" t="b">
        <f t="shared" si="1"/>
        <v>0</v>
      </c>
    </row>
    <row r="2709">
      <c r="A2709" s="1" t="s">
        <v>2063</v>
      </c>
      <c r="B2709" s="3">
        <v>10.0</v>
      </c>
      <c r="C2709" s="3">
        <v>60.0</v>
      </c>
      <c r="D2709" s="3">
        <v>0.0</v>
      </c>
      <c r="E2709" s="3">
        <v>0.0</v>
      </c>
      <c r="F2709" s="3">
        <v>0.0</v>
      </c>
      <c r="G2709" s="3">
        <v>0.0</v>
      </c>
      <c r="H2709" s="3">
        <v>0.0</v>
      </c>
      <c r="I2709" s="2" t="str">
        <f>IFERROR(__xludf.DUMMYFUNCTION("INDEX(SPLIT(A2709, ""/""), 0, 2)"),"regex")</f>
        <v>regex</v>
      </c>
      <c r="J2709" s="2" t="b">
        <f t="shared" si="1"/>
        <v>0</v>
      </c>
    </row>
    <row r="2710">
      <c r="A2710" s="1" t="s">
        <v>2064</v>
      </c>
      <c r="B2710" s="3">
        <v>4.0</v>
      </c>
      <c r="C2710" s="3">
        <v>60.0</v>
      </c>
      <c r="D2710" s="3">
        <v>0.0</v>
      </c>
      <c r="E2710" s="3">
        <v>0.0</v>
      </c>
      <c r="F2710" s="3">
        <v>0.0</v>
      </c>
      <c r="G2710" s="3">
        <v>0.0</v>
      </c>
      <c r="H2710" s="3">
        <v>0.0</v>
      </c>
      <c r="I2710" s="2" t="str">
        <f>IFERROR(__xludf.DUMMYFUNCTION("INDEX(SPLIT(A2710, ""/""), 0, 2)"),"regex")</f>
        <v>regex</v>
      </c>
      <c r="J2710" s="2" t="b">
        <f t="shared" si="1"/>
        <v>0</v>
      </c>
    </row>
    <row r="2711">
      <c r="A2711" s="1" t="s">
        <v>2065</v>
      </c>
      <c r="B2711" s="3">
        <v>17.0</v>
      </c>
      <c r="C2711" s="3">
        <v>60.0</v>
      </c>
      <c r="D2711" s="3">
        <v>0.0</v>
      </c>
      <c r="E2711" s="3">
        <v>0.0</v>
      </c>
      <c r="F2711" s="3">
        <v>0.0</v>
      </c>
      <c r="G2711" s="3">
        <v>0.0</v>
      </c>
      <c r="H2711" s="3">
        <v>0.0</v>
      </c>
      <c r="I2711" s="2" t="str">
        <f>IFERROR(__xludf.DUMMYFUNCTION("INDEX(SPLIT(A2711, ""/""), 0, 2)"),"regex")</f>
        <v>regex</v>
      </c>
      <c r="J2711" s="2" t="b">
        <f t="shared" si="1"/>
        <v>0</v>
      </c>
    </row>
    <row r="2712">
      <c r="A2712" s="1" t="s">
        <v>2066</v>
      </c>
      <c r="B2712" s="3">
        <v>40.0</v>
      </c>
      <c r="C2712" s="3">
        <v>60.0</v>
      </c>
      <c r="D2712" s="3">
        <v>0.0</v>
      </c>
      <c r="E2712" s="3">
        <v>0.0</v>
      </c>
      <c r="F2712" s="3">
        <v>0.0</v>
      </c>
      <c r="G2712" s="3">
        <v>0.0</v>
      </c>
      <c r="H2712" s="3">
        <v>0.0</v>
      </c>
      <c r="I2712" s="2" t="str">
        <f>IFERROR(__xludf.DUMMYFUNCTION("INDEX(SPLIT(A2712, ""/""), 0, 2)"),"regex")</f>
        <v>regex</v>
      </c>
      <c r="J2712" s="2" t="b">
        <f t="shared" si="1"/>
        <v>0</v>
      </c>
    </row>
    <row r="2713">
      <c r="A2713" s="1" t="s">
        <v>2067</v>
      </c>
      <c r="B2713" s="3">
        <v>180.0</v>
      </c>
      <c r="C2713" s="3">
        <v>60.0</v>
      </c>
      <c r="D2713" s="3">
        <v>0.0</v>
      </c>
      <c r="E2713" s="3">
        <v>0.0</v>
      </c>
      <c r="F2713" s="3">
        <v>0.0</v>
      </c>
      <c r="G2713" s="3">
        <v>0.0</v>
      </c>
      <c r="H2713" s="3">
        <v>0.0</v>
      </c>
      <c r="I2713" s="2" t="str">
        <f>IFERROR(__xludf.DUMMYFUNCTION("INDEX(SPLIT(A2713, ""/""), 0, 2)"),"regex")</f>
        <v>regex</v>
      </c>
      <c r="J2713" s="2" t="b">
        <f t="shared" si="1"/>
        <v>0</v>
      </c>
    </row>
    <row r="2714">
      <c r="A2714" s="1" t="s">
        <v>2068</v>
      </c>
      <c r="B2714" s="3">
        <v>35.0</v>
      </c>
      <c r="C2714" s="3">
        <v>60.0</v>
      </c>
      <c r="D2714" s="3">
        <v>0.0</v>
      </c>
      <c r="E2714" s="3">
        <v>0.0</v>
      </c>
      <c r="F2714" s="3">
        <v>0.0</v>
      </c>
      <c r="G2714" s="3">
        <v>0.0</v>
      </c>
      <c r="H2714" s="3">
        <v>0.0</v>
      </c>
      <c r="I2714" s="2" t="str">
        <f>IFERROR(__xludf.DUMMYFUNCTION("INDEX(SPLIT(A2714, ""/""), 0, 2)"),"regex")</f>
        <v>regex</v>
      </c>
      <c r="J2714" s="2" t="b">
        <f t="shared" si="1"/>
        <v>0</v>
      </c>
    </row>
    <row r="2715">
      <c r="A2715" s="1" t="s">
        <v>2069</v>
      </c>
      <c r="B2715" s="3">
        <v>427.0</v>
      </c>
      <c r="C2715" s="3">
        <v>60.0</v>
      </c>
      <c r="D2715" s="3">
        <v>5.0</v>
      </c>
      <c r="E2715" s="3">
        <v>0.0</v>
      </c>
      <c r="F2715" s="3">
        <v>0.0</v>
      </c>
      <c r="G2715" s="3">
        <v>0.0</v>
      </c>
      <c r="H2715" s="3">
        <v>0.0</v>
      </c>
      <c r="I2715" s="2" t="str">
        <f>IFERROR(__xludf.DUMMYFUNCTION("INDEX(SPLIT(A2715, ""/""), 0, 2)"),"regex")</f>
        <v>regex</v>
      </c>
      <c r="J2715" s="2" t="b">
        <f t="shared" si="1"/>
        <v>0</v>
      </c>
    </row>
    <row r="2716">
      <c r="A2716" s="1" t="s">
        <v>2070</v>
      </c>
      <c r="B2716" s="3">
        <v>115.0</v>
      </c>
      <c r="C2716" s="3">
        <v>60.0</v>
      </c>
      <c r="D2716" s="3">
        <v>0.0</v>
      </c>
      <c r="E2716" s="3">
        <v>0.0</v>
      </c>
      <c r="F2716" s="3">
        <v>0.0</v>
      </c>
      <c r="G2716" s="3">
        <v>0.0</v>
      </c>
      <c r="H2716" s="3">
        <v>0.0</v>
      </c>
      <c r="I2716" s="2" t="str">
        <f>IFERROR(__xludf.DUMMYFUNCTION("INDEX(SPLIT(A2716, ""/""), 0, 2)"),"regex")</f>
        <v>regex</v>
      </c>
      <c r="J2716" s="2" t="b">
        <f t="shared" si="1"/>
        <v>0</v>
      </c>
    </row>
    <row r="2717">
      <c r="A2717" s="1" t="s">
        <v>2071</v>
      </c>
      <c r="B2717" s="3">
        <v>52.0</v>
      </c>
      <c r="C2717" s="3">
        <v>60.0</v>
      </c>
      <c r="D2717" s="3">
        <v>0.0</v>
      </c>
      <c r="E2717" s="3">
        <v>0.0</v>
      </c>
      <c r="F2717" s="3">
        <v>0.0</v>
      </c>
      <c r="G2717" s="3">
        <v>0.0</v>
      </c>
      <c r="H2717" s="3">
        <v>0.0</v>
      </c>
      <c r="I2717" s="2" t="str">
        <f>IFERROR(__xludf.DUMMYFUNCTION("INDEX(SPLIT(A2717, ""/""), 0, 2)"),"regex")</f>
        <v>regex</v>
      </c>
      <c r="J2717" s="2" t="b">
        <f t="shared" si="1"/>
        <v>0</v>
      </c>
    </row>
    <row r="2718">
      <c r="A2718" s="1" t="s">
        <v>2072</v>
      </c>
      <c r="B2718" s="3">
        <v>13.0</v>
      </c>
      <c r="C2718" s="3">
        <v>60.0</v>
      </c>
      <c r="D2718" s="3">
        <v>0.0</v>
      </c>
      <c r="E2718" s="3">
        <v>0.0</v>
      </c>
      <c r="F2718" s="3">
        <v>0.0</v>
      </c>
      <c r="G2718" s="3">
        <v>0.0</v>
      </c>
      <c r="H2718" s="3">
        <v>0.0</v>
      </c>
      <c r="I2718" s="2" t="str">
        <f>IFERROR(__xludf.DUMMYFUNCTION("INDEX(SPLIT(A2718, ""/""), 0, 2)"),"regex")</f>
        <v>regex</v>
      </c>
      <c r="J2718" s="2" t="b">
        <f t="shared" si="1"/>
        <v>0</v>
      </c>
    </row>
    <row r="2719">
      <c r="A2719" s="1" t="s">
        <v>2073</v>
      </c>
      <c r="B2719" s="3">
        <v>210.0</v>
      </c>
      <c r="C2719" s="3">
        <v>60.0</v>
      </c>
      <c r="D2719" s="3">
        <v>1.0</v>
      </c>
      <c r="E2719" s="3">
        <v>0.0</v>
      </c>
      <c r="F2719" s="3">
        <v>0.0</v>
      </c>
      <c r="G2719" s="3">
        <v>0.0</v>
      </c>
      <c r="H2719" s="3">
        <v>0.0</v>
      </c>
      <c r="I2719" s="2" t="str">
        <f>IFERROR(__xludf.DUMMYFUNCTION("INDEX(SPLIT(A2719, ""/""), 0, 2)"),"regex")</f>
        <v>regex</v>
      </c>
      <c r="J2719" s="2" t="b">
        <f t="shared" si="1"/>
        <v>0</v>
      </c>
    </row>
    <row r="2720">
      <c r="A2720" s="1" t="s">
        <v>2074</v>
      </c>
      <c r="B2720" s="3">
        <v>25.0</v>
      </c>
      <c r="C2720" s="3">
        <v>60.0</v>
      </c>
      <c r="D2720" s="3">
        <v>0.0</v>
      </c>
      <c r="E2720" s="3">
        <v>0.0</v>
      </c>
      <c r="F2720" s="3">
        <v>0.0</v>
      </c>
      <c r="G2720" s="3">
        <v>0.0</v>
      </c>
      <c r="H2720" s="3">
        <v>0.0</v>
      </c>
      <c r="I2720" s="2" t="str">
        <f>IFERROR(__xludf.DUMMYFUNCTION("INDEX(SPLIT(A2720, ""/""), 0, 2)"),"regex")</f>
        <v>regex</v>
      </c>
      <c r="J2720" s="2" t="b">
        <f t="shared" si="1"/>
        <v>0</v>
      </c>
    </row>
    <row r="2721">
      <c r="A2721" s="1" t="s">
        <v>2075</v>
      </c>
      <c r="B2721" s="3">
        <v>132.0</v>
      </c>
      <c r="C2721" s="3">
        <v>60.0</v>
      </c>
      <c r="D2721" s="3">
        <v>0.0</v>
      </c>
      <c r="E2721" s="3">
        <v>0.0</v>
      </c>
      <c r="F2721" s="3">
        <v>0.0</v>
      </c>
      <c r="G2721" s="3">
        <v>0.0</v>
      </c>
      <c r="H2721" s="3">
        <v>0.0</v>
      </c>
      <c r="I2721" s="2" t="str">
        <f>IFERROR(__xludf.DUMMYFUNCTION("INDEX(SPLIT(A2721, ""/""), 0, 2)"),"regex")</f>
        <v>regex</v>
      </c>
      <c r="J2721" s="2" t="b">
        <f t="shared" si="1"/>
        <v>0</v>
      </c>
    </row>
    <row r="2722">
      <c r="A2722" s="1" t="s">
        <v>2076</v>
      </c>
      <c r="B2722" s="3">
        <v>15.0</v>
      </c>
      <c r="C2722" s="3">
        <v>60.0</v>
      </c>
      <c r="D2722" s="3">
        <v>0.0</v>
      </c>
      <c r="E2722" s="3">
        <v>0.0</v>
      </c>
      <c r="F2722" s="3">
        <v>0.0</v>
      </c>
      <c r="G2722" s="3">
        <v>0.0</v>
      </c>
      <c r="H2722" s="3">
        <v>0.0</v>
      </c>
      <c r="I2722" s="2" t="str">
        <f>IFERROR(__xludf.DUMMYFUNCTION("INDEX(SPLIT(A2722, ""/""), 0, 2)"),"regex")</f>
        <v>regex</v>
      </c>
      <c r="J2722" s="2" t="b">
        <f t="shared" si="1"/>
        <v>0</v>
      </c>
    </row>
    <row r="2723">
      <c r="A2723" s="1" t="s">
        <v>2077</v>
      </c>
      <c r="B2723" s="3">
        <v>38.0</v>
      </c>
      <c r="C2723" s="3">
        <v>60.0</v>
      </c>
      <c r="D2723" s="3">
        <v>0.0</v>
      </c>
      <c r="E2723" s="3">
        <v>0.0</v>
      </c>
      <c r="F2723" s="3">
        <v>0.0</v>
      </c>
      <c r="G2723" s="3">
        <v>0.0</v>
      </c>
      <c r="H2723" s="3">
        <v>0.0</v>
      </c>
      <c r="I2723" s="2" t="str">
        <f>IFERROR(__xludf.DUMMYFUNCTION("INDEX(SPLIT(A2723, ""/""), 0, 2)"),"regex")</f>
        <v>regex</v>
      </c>
      <c r="J2723" s="2" t="b">
        <f t="shared" si="1"/>
        <v>0</v>
      </c>
    </row>
    <row r="2724">
      <c r="A2724" s="1" t="s">
        <v>2078</v>
      </c>
      <c r="B2724" s="3">
        <v>62.0</v>
      </c>
      <c r="C2724" s="3">
        <v>60.0</v>
      </c>
      <c r="D2724" s="3">
        <v>0.0</v>
      </c>
      <c r="E2724" s="3">
        <v>0.0</v>
      </c>
      <c r="F2724" s="3">
        <v>0.0</v>
      </c>
      <c r="G2724" s="3">
        <v>0.0</v>
      </c>
      <c r="H2724" s="3">
        <v>0.0</v>
      </c>
      <c r="I2724" s="2" t="str">
        <f>IFERROR(__xludf.DUMMYFUNCTION("INDEX(SPLIT(A2724, ""/""), 0, 2)"),"regex")</f>
        <v>regex</v>
      </c>
      <c r="J2724" s="2" t="b">
        <f t="shared" si="1"/>
        <v>0</v>
      </c>
    </row>
    <row r="2725">
      <c r="A2725" s="1" t="s">
        <v>2079</v>
      </c>
      <c r="B2725" s="3">
        <v>26.0</v>
      </c>
      <c r="C2725" s="3">
        <v>60.0</v>
      </c>
      <c r="D2725" s="3">
        <v>0.0</v>
      </c>
      <c r="E2725" s="3">
        <v>0.0</v>
      </c>
      <c r="F2725" s="3">
        <v>0.0</v>
      </c>
      <c r="G2725" s="3">
        <v>0.0</v>
      </c>
      <c r="H2725" s="3">
        <v>0.0</v>
      </c>
      <c r="I2725" s="2" t="str">
        <f>IFERROR(__xludf.DUMMYFUNCTION("INDEX(SPLIT(A2725, ""/""), 0, 2)"),"regex")</f>
        <v>regex</v>
      </c>
      <c r="J2725" s="2" t="b">
        <f t="shared" si="1"/>
        <v>0</v>
      </c>
    </row>
    <row r="2726">
      <c r="A2726" s="1" t="s">
        <v>2080</v>
      </c>
      <c r="B2726" s="3">
        <v>48.0</v>
      </c>
      <c r="C2726" s="3">
        <v>60.0</v>
      </c>
      <c r="D2726" s="3">
        <v>0.0</v>
      </c>
      <c r="E2726" s="3">
        <v>0.0</v>
      </c>
      <c r="F2726" s="3">
        <v>0.0</v>
      </c>
      <c r="G2726" s="3">
        <v>0.0</v>
      </c>
      <c r="H2726" s="3">
        <v>0.0</v>
      </c>
      <c r="I2726" s="2" t="str">
        <f>IFERROR(__xludf.DUMMYFUNCTION("INDEX(SPLIT(A2726, ""/""), 0, 2)"),"regex")</f>
        <v>regex</v>
      </c>
      <c r="J2726" s="2" t="b">
        <f t="shared" si="1"/>
        <v>0</v>
      </c>
    </row>
    <row r="2727">
      <c r="A2727" s="1" t="s">
        <v>2081</v>
      </c>
      <c r="B2727" s="3">
        <v>5.0</v>
      </c>
      <c r="C2727" s="3">
        <v>60.0</v>
      </c>
      <c r="D2727" s="3">
        <v>0.0</v>
      </c>
      <c r="E2727" s="3">
        <v>0.0</v>
      </c>
      <c r="F2727" s="3">
        <v>0.0</v>
      </c>
      <c r="G2727" s="3">
        <v>0.0</v>
      </c>
      <c r="H2727" s="3">
        <v>0.0</v>
      </c>
      <c r="I2727" s="2" t="str">
        <f>IFERROR(__xludf.DUMMYFUNCTION("INDEX(SPLIT(A2727, ""/""), 0, 2)"),"regex")</f>
        <v>regex</v>
      </c>
      <c r="J2727" s="2" t="b">
        <f t="shared" si="1"/>
        <v>0</v>
      </c>
    </row>
    <row r="2728">
      <c r="A2728" s="1" t="s">
        <v>2082</v>
      </c>
      <c r="B2728" s="3">
        <v>147.0</v>
      </c>
      <c r="C2728" s="3">
        <v>60.0</v>
      </c>
      <c r="D2728" s="3">
        <v>0.0</v>
      </c>
      <c r="E2728" s="3">
        <v>0.0</v>
      </c>
      <c r="F2728" s="3">
        <v>0.0</v>
      </c>
      <c r="G2728" s="3">
        <v>0.0</v>
      </c>
      <c r="H2728" s="3">
        <v>0.0</v>
      </c>
      <c r="I2728" s="2" t="str">
        <f>IFERROR(__xludf.DUMMYFUNCTION("INDEX(SPLIT(A2728, ""/""), 0, 2)"),"regex")</f>
        <v>regex</v>
      </c>
      <c r="J2728" s="2" t="b">
        <f t="shared" si="1"/>
        <v>0</v>
      </c>
    </row>
    <row r="2729">
      <c r="A2729" s="1" t="s">
        <v>2083</v>
      </c>
      <c r="B2729" s="3">
        <v>26.0</v>
      </c>
      <c r="C2729" s="3">
        <v>60.0</v>
      </c>
      <c r="D2729" s="3">
        <v>0.0</v>
      </c>
      <c r="E2729" s="3">
        <v>0.0</v>
      </c>
      <c r="F2729" s="3">
        <v>0.0</v>
      </c>
      <c r="G2729" s="3">
        <v>0.0</v>
      </c>
      <c r="H2729" s="3">
        <v>0.0</v>
      </c>
      <c r="I2729" s="2" t="str">
        <f>IFERROR(__xludf.DUMMYFUNCTION("INDEX(SPLIT(A2729, ""/""), 0, 2)"),"regex")</f>
        <v>regex</v>
      </c>
      <c r="J2729" s="2" t="b">
        <f t="shared" si="1"/>
        <v>0</v>
      </c>
    </row>
    <row r="2730">
      <c r="A2730" s="1" t="s">
        <v>2084</v>
      </c>
      <c r="B2730" s="3">
        <v>929.0</v>
      </c>
      <c r="C2730" s="3">
        <v>60.0</v>
      </c>
      <c r="D2730" s="3">
        <v>8.0</v>
      </c>
      <c r="E2730" s="3">
        <v>0.0</v>
      </c>
      <c r="F2730" s="3">
        <v>0.0</v>
      </c>
      <c r="G2730" s="3">
        <v>0.0</v>
      </c>
      <c r="H2730" s="3">
        <v>0.0</v>
      </c>
      <c r="I2730" s="2" t="str">
        <f>IFERROR(__xludf.DUMMYFUNCTION("INDEX(SPLIT(A2730, ""/""), 0, 2)"),"regex")</f>
        <v>regex</v>
      </c>
      <c r="J2730" s="2" t="b">
        <f t="shared" si="1"/>
        <v>0</v>
      </c>
    </row>
    <row r="2731">
      <c r="A2731" s="1" t="s">
        <v>2085</v>
      </c>
      <c r="B2731" s="3">
        <v>5.0</v>
      </c>
      <c r="C2731" s="3">
        <v>60.0</v>
      </c>
      <c r="D2731" s="3">
        <v>0.0</v>
      </c>
      <c r="E2731" s="3">
        <v>0.0</v>
      </c>
      <c r="F2731" s="3">
        <v>0.0</v>
      </c>
      <c r="G2731" s="3">
        <v>0.0</v>
      </c>
      <c r="H2731" s="3">
        <v>0.0</v>
      </c>
      <c r="I2731" s="2" t="str">
        <f>IFERROR(__xludf.DUMMYFUNCTION("INDEX(SPLIT(A2731, ""/""), 0, 2)"),"regex")</f>
        <v>regex</v>
      </c>
      <c r="J2731" s="2" t="b">
        <f t="shared" si="1"/>
        <v>0</v>
      </c>
    </row>
    <row r="2732">
      <c r="A2732" s="1" t="s">
        <v>2086</v>
      </c>
      <c r="B2732" s="3">
        <v>100.0</v>
      </c>
      <c r="C2732" s="3">
        <v>60.0</v>
      </c>
      <c r="D2732" s="3">
        <v>0.0</v>
      </c>
      <c r="E2732" s="3">
        <v>0.0</v>
      </c>
      <c r="F2732" s="3">
        <v>0.0</v>
      </c>
      <c r="G2732" s="3">
        <v>0.0</v>
      </c>
      <c r="H2732" s="3">
        <v>0.0</v>
      </c>
      <c r="I2732" s="2" t="str">
        <f>IFERROR(__xludf.DUMMYFUNCTION("INDEX(SPLIT(A2732, ""/""), 0, 2)"),"regex")</f>
        <v>regex</v>
      </c>
      <c r="J2732" s="2" t="b">
        <f t="shared" si="1"/>
        <v>0</v>
      </c>
    </row>
    <row r="2733">
      <c r="A2733" s="1" t="s">
        <v>2087</v>
      </c>
      <c r="B2733" s="3">
        <v>6.0</v>
      </c>
      <c r="C2733" s="3">
        <v>60.0</v>
      </c>
      <c r="D2733" s="3">
        <v>0.0</v>
      </c>
      <c r="E2733" s="3">
        <v>0.0</v>
      </c>
      <c r="F2733" s="3">
        <v>0.0</v>
      </c>
      <c r="G2733" s="3">
        <v>0.0</v>
      </c>
      <c r="H2733" s="3">
        <v>0.0</v>
      </c>
      <c r="I2733" s="2" t="str">
        <f>IFERROR(__xludf.DUMMYFUNCTION("INDEX(SPLIT(A2733, ""/""), 0, 2)"),"regex")</f>
        <v>regex</v>
      </c>
      <c r="J2733" s="2" t="b">
        <f t="shared" si="1"/>
        <v>0</v>
      </c>
    </row>
    <row r="2734">
      <c r="A2734" s="1" t="s">
        <v>2088</v>
      </c>
      <c r="B2734" s="3">
        <v>73.0</v>
      </c>
      <c r="C2734" s="3">
        <v>60.0</v>
      </c>
      <c r="D2734" s="3">
        <v>0.0</v>
      </c>
      <c r="E2734" s="3">
        <v>0.0</v>
      </c>
      <c r="F2734" s="3">
        <v>0.0</v>
      </c>
      <c r="G2734" s="3">
        <v>0.0</v>
      </c>
      <c r="H2734" s="3">
        <v>0.0</v>
      </c>
      <c r="I2734" s="2" t="str">
        <f>IFERROR(__xludf.DUMMYFUNCTION("INDEX(SPLIT(A2734, ""/""), 0, 2)"),"regex")</f>
        <v>regex</v>
      </c>
      <c r="J2734" s="2" t="b">
        <f t="shared" si="1"/>
        <v>0</v>
      </c>
    </row>
    <row r="2735">
      <c r="A2735" s="1" t="s">
        <v>2089</v>
      </c>
      <c r="B2735" s="3">
        <v>9.0</v>
      </c>
      <c r="C2735" s="3">
        <v>60.0</v>
      </c>
      <c r="D2735" s="3">
        <v>0.0</v>
      </c>
      <c r="E2735" s="3">
        <v>0.0</v>
      </c>
      <c r="F2735" s="3">
        <v>0.0</v>
      </c>
      <c r="G2735" s="3">
        <v>0.0</v>
      </c>
      <c r="H2735" s="3">
        <v>0.0</v>
      </c>
      <c r="I2735" s="2" t="str">
        <f>IFERROR(__xludf.DUMMYFUNCTION("INDEX(SPLIT(A2735, ""/""), 0, 2)"),"regex")</f>
        <v>regex</v>
      </c>
      <c r="J2735" s="2" t="b">
        <f t="shared" si="1"/>
        <v>0</v>
      </c>
    </row>
    <row r="2736">
      <c r="A2736" s="1" t="s">
        <v>2090</v>
      </c>
      <c r="B2736" s="3">
        <v>15.0</v>
      </c>
      <c r="C2736" s="3">
        <v>60.0</v>
      </c>
      <c r="D2736" s="3">
        <v>0.0</v>
      </c>
      <c r="E2736" s="3">
        <v>0.0</v>
      </c>
      <c r="F2736" s="3">
        <v>0.0</v>
      </c>
      <c r="G2736" s="3">
        <v>0.0</v>
      </c>
      <c r="H2736" s="3">
        <v>0.0</v>
      </c>
      <c r="I2736" s="2" t="str">
        <f>IFERROR(__xludf.DUMMYFUNCTION("INDEX(SPLIT(A2736, ""/""), 0, 2)"),"regex")</f>
        <v>regex</v>
      </c>
      <c r="J2736" s="2" t="b">
        <f t="shared" si="1"/>
        <v>0</v>
      </c>
    </row>
    <row r="2737">
      <c r="A2737" s="1" t="s">
        <v>2091</v>
      </c>
      <c r="B2737" s="3">
        <v>27.0</v>
      </c>
      <c r="C2737" s="3">
        <v>60.0</v>
      </c>
      <c r="D2737" s="3">
        <v>0.0</v>
      </c>
      <c r="E2737" s="3">
        <v>0.0</v>
      </c>
      <c r="F2737" s="3">
        <v>0.0</v>
      </c>
      <c r="G2737" s="3">
        <v>0.0</v>
      </c>
      <c r="H2737" s="3">
        <v>0.0</v>
      </c>
      <c r="I2737" s="2" t="str">
        <f>IFERROR(__xludf.DUMMYFUNCTION("INDEX(SPLIT(A2737, ""/""), 0, 2)"),"regex")</f>
        <v>regex</v>
      </c>
      <c r="J2737" s="2" t="b">
        <f t="shared" si="1"/>
        <v>0</v>
      </c>
    </row>
    <row r="2738">
      <c r="A2738" s="1" t="s">
        <v>2092</v>
      </c>
      <c r="B2738" s="3">
        <v>168.0</v>
      </c>
      <c r="C2738" s="3">
        <v>60.0</v>
      </c>
      <c r="D2738" s="3">
        <v>0.0</v>
      </c>
      <c r="E2738" s="3">
        <v>0.0</v>
      </c>
      <c r="F2738" s="3">
        <v>0.0</v>
      </c>
      <c r="G2738" s="3">
        <v>0.0</v>
      </c>
      <c r="H2738" s="3">
        <v>0.0</v>
      </c>
      <c r="I2738" s="2" t="str">
        <f>IFERROR(__xludf.DUMMYFUNCTION("INDEX(SPLIT(A2738, ""/""), 0, 2)"),"regex")</f>
        <v>regex</v>
      </c>
      <c r="J2738" s="2" t="b">
        <f t="shared" si="1"/>
        <v>0</v>
      </c>
    </row>
    <row r="2739">
      <c r="A2739" s="1" t="s">
        <v>2093</v>
      </c>
      <c r="B2739" s="3">
        <v>28.0</v>
      </c>
      <c r="C2739" s="3">
        <v>60.0</v>
      </c>
      <c r="D2739" s="3">
        <v>0.0</v>
      </c>
      <c r="E2739" s="3">
        <v>0.0</v>
      </c>
      <c r="F2739" s="3">
        <v>0.0</v>
      </c>
      <c r="G2739" s="3">
        <v>0.0</v>
      </c>
      <c r="H2739" s="3">
        <v>0.0</v>
      </c>
      <c r="I2739" s="2" t="str">
        <f>IFERROR(__xludf.DUMMYFUNCTION("INDEX(SPLIT(A2739, ""/""), 0, 2)"),"regex")</f>
        <v>regex</v>
      </c>
      <c r="J2739" s="2" t="b">
        <f t="shared" si="1"/>
        <v>0</v>
      </c>
    </row>
    <row r="2740">
      <c r="A2740" s="1" t="s">
        <v>2094</v>
      </c>
      <c r="B2740" s="3">
        <v>116.0</v>
      </c>
      <c r="C2740" s="3">
        <v>60.0</v>
      </c>
      <c r="D2740" s="3">
        <v>0.0</v>
      </c>
      <c r="E2740" s="3">
        <v>0.0</v>
      </c>
      <c r="F2740" s="3">
        <v>0.0</v>
      </c>
      <c r="G2740" s="3">
        <v>0.0</v>
      </c>
      <c r="H2740" s="3">
        <v>0.0</v>
      </c>
      <c r="I2740" s="2" t="str">
        <f>IFERROR(__xludf.DUMMYFUNCTION("INDEX(SPLIT(A2740, ""/""), 0, 2)"),"regex")</f>
        <v>regex</v>
      </c>
      <c r="J2740" s="2" t="b">
        <f t="shared" si="1"/>
        <v>0</v>
      </c>
    </row>
    <row r="2741">
      <c r="A2741" s="1" t="s">
        <v>2095</v>
      </c>
      <c r="B2741" s="3">
        <v>2641.0</v>
      </c>
      <c r="C2741" s="3">
        <v>60.0</v>
      </c>
      <c r="D2741" s="3">
        <v>155.0</v>
      </c>
      <c r="E2741" s="3">
        <v>3.0</v>
      </c>
      <c r="F2741" s="3">
        <v>4.0</v>
      </c>
      <c r="G2741" s="3">
        <v>9.0</v>
      </c>
      <c r="H2741" s="3">
        <v>3.0</v>
      </c>
      <c r="I2741" s="2" t="str">
        <f>IFERROR(__xludf.DUMMYFUNCTION("INDEX(SPLIT(A2741, ""/""), 0, 2)"),"regex")</f>
        <v>regex</v>
      </c>
      <c r="J2741" s="2" t="b">
        <f t="shared" si="1"/>
        <v>1</v>
      </c>
    </row>
    <row r="2742">
      <c r="A2742" s="1" t="s">
        <v>2096</v>
      </c>
      <c r="B2742" s="3">
        <v>1043.0</v>
      </c>
      <c r="C2742" s="3">
        <v>60.0</v>
      </c>
      <c r="D2742" s="3">
        <v>14.0</v>
      </c>
      <c r="E2742" s="3">
        <v>0.0</v>
      </c>
      <c r="F2742" s="3">
        <v>1.0</v>
      </c>
      <c r="G2742" s="3">
        <v>6.0</v>
      </c>
      <c r="H2742" s="3">
        <v>0.0</v>
      </c>
      <c r="I2742" s="2" t="str">
        <f>IFERROR(__xludf.DUMMYFUNCTION("INDEX(SPLIT(A2742, ""/""), 0, 2)"),"regex")</f>
        <v>regex</v>
      </c>
      <c r="J2742" s="2" t="b">
        <f t="shared" si="1"/>
        <v>1</v>
      </c>
    </row>
    <row r="2743">
      <c r="A2743" s="1" t="s">
        <v>2097</v>
      </c>
      <c r="B2743" s="3">
        <v>60.0</v>
      </c>
      <c r="C2743" s="3">
        <v>60.0</v>
      </c>
      <c r="D2743" s="3">
        <v>0.0</v>
      </c>
      <c r="E2743" s="3">
        <v>0.0</v>
      </c>
      <c r="F2743" s="3">
        <v>0.0</v>
      </c>
      <c r="G2743" s="3">
        <v>0.0</v>
      </c>
      <c r="H2743" s="3">
        <v>0.0</v>
      </c>
      <c r="I2743" s="2" t="str">
        <f>IFERROR(__xludf.DUMMYFUNCTION("INDEX(SPLIT(A2743, ""/""), 0, 2)"),"regex")</f>
        <v>regex</v>
      </c>
      <c r="J2743" s="2" t="b">
        <f t="shared" si="1"/>
        <v>0</v>
      </c>
    </row>
    <row r="2744">
      <c r="A2744" s="1" t="s">
        <v>2098</v>
      </c>
      <c r="B2744" s="3">
        <v>68019.0</v>
      </c>
      <c r="C2744" s="3">
        <v>60.0</v>
      </c>
      <c r="D2744" s="3">
        <v>900.0</v>
      </c>
      <c r="E2744" s="3">
        <v>696.0</v>
      </c>
      <c r="F2744" s="3">
        <v>703.0</v>
      </c>
      <c r="G2744" s="3">
        <v>26.0</v>
      </c>
      <c r="H2744" s="3">
        <v>18.0</v>
      </c>
      <c r="I2744" s="2" t="str">
        <f>IFERROR(__xludf.DUMMYFUNCTION("INDEX(SPLIT(A2744, ""/""), 0, 2)"),"regex")</f>
        <v>regex</v>
      </c>
      <c r="J2744" s="2" t="b">
        <f t="shared" si="1"/>
        <v>1</v>
      </c>
    </row>
    <row r="2745">
      <c r="A2745" s="1" t="s">
        <v>2099</v>
      </c>
      <c r="B2745" s="3">
        <v>1544.0</v>
      </c>
      <c r="C2745" s="3">
        <v>60.0</v>
      </c>
      <c r="D2745" s="3">
        <v>26.0</v>
      </c>
      <c r="E2745" s="3">
        <v>3.0</v>
      </c>
      <c r="F2745" s="3">
        <v>1.0</v>
      </c>
      <c r="G2745" s="3">
        <v>2.0</v>
      </c>
      <c r="H2745" s="3">
        <v>0.0</v>
      </c>
      <c r="I2745" s="2" t="str">
        <f>IFERROR(__xludf.DUMMYFUNCTION("INDEX(SPLIT(A2745, ""/""), 0, 2)"),"regex")</f>
        <v>regex</v>
      </c>
      <c r="J2745" s="2" t="b">
        <f t="shared" si="1"/>
        <v>1</v>
      </c>
    </row>
    <row r="2746">
      <c r="A2746" s="1" t="s">
        <v>2100</v>
      </c>
      <c r="B2746" s="3">
        <v>124.0</v>
      </c>
      <c r="C2746" s="3">
        <v>60.0</v>
      </c>
      <c r="D2746" s="3">
        <v>0.0</v>
      </c>
      <c r="E2746" s="3">
        <v>0.0</v>
      </c>
      <c r="F2746" s="3">
        <v>0.0</v>
      </c>
      <c r="G2746" s="3">
        <v>0.0</v>
      </c>
      <c r="H2746" s="3">
        <v>0.0</v>
      </c>
      <c r="I2746" s="2" t="str">
        <f>IFERROR(__xludf.DUMMYFUNCTION("INDEX(SPLIT(A2746, ""/""), 0, 2)"),"regex")</f>
        <v>regex</v>
      </c>
      <c r="J2746" s="2" t="b">
        <f t="shared" si="1"/>
        <v>0</v>
      </c>
    </row>
    <row r="2747">
      <c r="A2747" s="1" t="s">
        <v>2101</v>
      </c>
      <c r="B2747" s="3">
        <v>139.0</v>
      </c>
      <c r="C2747" s="3">
        <v>60.0</v>
      </c>
      <c r="D2747" s="3">
        <v>0.0</v>
      </c>
      <c r="E2747" s="3">
        <v>0.0</v>
      </c>
      <c r="F2747" s="3">
        <v>0.0</v>
      </c>
      <c r="G2747" s="3">
        <v>0.0</v>
      </c>
      <c r="H2747" s="3">
        <v>0.0</v>
      </c>
      <c r="I2747" s="2" t="str">
        <f>IFERROR(__xludf.DUMMYFUNCTION("INDEX(SPLIT(A2747, ""/""), 0, 2)"),"regex")</f>
        <v>regex</v>
      </c>
      <c r="J2747" s="2" t="b">
        <f t="shared" si="1"/>
        <v>0</v>
      </c>
    </row>
    <row r="2748">
      <c r="A2748" s="1" t="s">
        <v>2102</v>
      </c>
      <c r="B2748" s="3">
        <v>7849.0</v>
      </c>
      <c r="C2748" s="3">
        <v>60.0</v>
      </c>
      <c r="D2748" s="3">
        <v>216.0</v>
      </c>
      <c r="E2748" s="3">
        <v>138.0</v>
      </c>
      <c r="F2748" s="3">
        <v>140.0</v>
      </c>
      <c r="G2748" s="3">
        <v>143.0</v>
      </c>
      <c r="H2748" s="3">
        <v>147.0</v>
      </c>
      <c r="I2748" s="2" t="str">
        <f>IFERROR(__xludf.DUMMYFUNCTION("INDEX(SPLIT(A2748, ""/""), 0, 2)"),"regex")</f>
        <v>regex</v>
      </c>
      <c r="J2748" s="2" t="b">
        <f t="shared" si="1"/>
        <v>1</v>
      </c>
    </row>
    <row r="2749">
      <c r="A2749" s="1" t="s">
        <v>2103</v>
      </c>
      <c r="B2749" s="3">
        <v>72.0</v>
      </c>
      <c r="C2749" s="3">
        <v>60.0</v>
      </c>
      <c r="D2749" s="3">
        <v>0.0</v>
      </c>
      <c r="E2749" s="3">
        <v>0.0</v>
      </c>
      <c r="F2749" s="3">
        <v>0.0</v>
      </c>
      <c r="G2749" s="3">
        <v>0.0</v>
      </c>
      <c r="H2749" s="3">
        <v>0.0</v>
      </c>
      <c r="I2749" s="2" t="str">
        <f>IFERROR(__xludf.DUMMYFUNCTION("INDEX(SPLIT(A2749, ""/""), 0, 2)"),"regex")</f>
        <v>regex</v>
      </c>
      <c r="J2749" s="2" t="b">
        <f t="shared" si="1"/>
        <v>0</v>
      </c>
    </row>
    <row r="2750">
      <c r="A2750" s="1" t="s">
        <v>2104</v>
      </c>
      <c r="B2750" s="3">
        <v>668.0</v>
      </c>
      <c r="C2750" s="3">
        <v>60.0</v>
      </c>
      <c r="D2750" s="3">
        <v>9.0</v>
      </c>
      <c r="E2750" s="3">
        <v>0.0</v>
      </c>
      <c r="F2750" s="3">
        <v>1.0</v>
      </c>
      <c r="G2750" s="3">
        <v>2.0</v>
      </c>
      <c r="H2750" s="3">
        <v>0.0</v>
      </c>
      <c r="I2750" s="2" t="str">
        <f>IFERROR(__xludf.DUMMYFUNCTION("INDEX(SPLIT(A2750, ""/""), 0, 2)"),"regex")</f>
        <v>regex</v>
      </c>
      <c r="J2750" s="2" t="b">
        <f t="shared" si="1"/>
        <v>0</v>
      </c>
    </row>
    <row r="2751">
      <c r="A2751" s="1" t="s">
        <v>2105</v>
      </c>
      <c r="B2751" s="3">
        <v>1069.0</v>
      </c>
      <c r="C2751" s="3">
        <v>60.0</v>
      </c>
      <c r="D2751" s="3">
        <v>10.0</v>
      </c>
      <c r="E2751" s="3">
        <v>1.0</v>
      </c>
      <c r="F2751" s="3">
        <v>1.0</v>
      </c>
      <c r="G2751" s="3">
        <v>4.0</v>
      </c>
      <c r="H2751" s="3">
        <v>0.0</v>
      </c>
      <c r="I2751" s="2" t="str">
        <f>IFERROR(__xludf.DUMMYFUNCTION("INDEX(SPLIT(A2751, ""/""), 0, 2)"),"regex")</f>
        <v>regex</v>
      </c>
      <c r="J2751" s="2" t="b">
        <f t="shared" si="1"/>
        <v>1</v>
      </c>
    </row>
    <row r="2752">
      <c r="A2752" s="1" t="s">
        <v>2106</v>
      </c>
      <c r="B2752" s="3">
        <v>1047.0</v>
      </c>
      <c r="C2752" s="3">
        <v>60.0</v>
      </c>
      <c r="D2752" s="3">
        <v>2.0</v>
      </c>
      <c r="E2752" s="3">
        <v>1.0</v>
      </c>
      <c r="F2752" s="3">
        <v>1.0</v>
      </c>
      <c r="G2752" s="3">
        <v>1.0</v>
      </c>
      <c r="H2752" s="3">
        <v>1.0</v>
      </c>
      <c r="I2752" s="2" t="str">
        <f>IFERROR(__xludf.DUMMYFUNCTION("INDEX(SPLIT(A2752, ""/""), 0, 2)"),"regex")</f>
        <v>regex</v>
      </c>
      <c r="J2752" s="2" t="b">
        <f t="shared" si="1"/>
        <v>0</v>
      </c>
    </row>
    <row r="2753">
      <c r="A2753" s="1" t="s">
        <v>2107</v>
      </c>
      <c r="B2753" s="3">
        <v>56.0</v>
      </c>
      <c r="C2753" s="3">
        <v>60.0</v>
      </c>
      <c r="D2753" s="3">
        <v>0.0</v>
      </c>
      <c r="E2753" s="3">
        <v>0.0</v>
      </c>
      <c r="F2753" s="3">
        <v>0.0</v>
      </c>
      <c r="G2753" s="3">
        <v>0.0</v>
      </c>
      <c r="H2753" s="3">
        <v>0.0</v>
      </c>
      <c r="I2753" s="2" t="str">
        <f>IFERROR(__xludf.DUMMYFUNCTION("INDEX(SPLIT(A2753, ""/""), 0, 2)"),"regex")</f>
        <v>regex</v>
      </c>
      <c r="J2753" s="2" t="b">
        <f t="shared" si="1"/>
        <v>0</v>
      </c>
    </row>
    <row r="2754">
      <c r="A2754" s="1" t="s">
        <v>2108</v>
      </c>
      <c r="B2754" s="3">
        <v>22.0</v>
      </c>
      <c r="C2754" s="3">
        <v>60.0</v>
      </c>
      <c r="D2754" s="3">
        <v>0.0</v>
      </c>
      <c r="E2754" s="3">
        <v>0.0</v>
      </c>
      <c r="F2754" s="3">
        <v>0.0</v>
      </c>
      <c r="G2754" s="3">
        <v>0.0</v>
      </c>
      <c r="H2754" s="3">
        <v>0.0</v>
      </c>
      <c r="I2754" s="2" t="str">
        <f>IFERROR(__xludf.DUMMYFUNCTION("INDEX(SPLIT(A2754, ""/""), 0, 2)"),"regex")</f>
        <v>regex</v>
      </c>
      <c r="J2754" s="2" t="b">
        <f t="shared" si="1"/>
        <v>0</v>
      </c>
    </row>
    <row r="2755">
      <c r="A2755" s="1" t="s">
        <v>2109</v>
      </c>
      <c r="B2755" s="3">
        <v>1316.0</v>
      </c>
      <c r="C2755" s="3">
        <v>60.0</v>
      </c>
      <c r="D2755" s="3">
        <v>6.0</v>
      </c>
      <c r="E2755" s="3">
        <v>1.0</v>
      </c>
      <c r="F2755" s="3">
        <v>1.0</v>
      </c>
      <c r="G2755" s="3">
        <v>3.0</v>
      </c>
      <c r="H2755" s="3">
        <v>1.0</v>
      </c>
      <c r="I2755" s="2" t="str">
        <f>IFERROR(__xludf.DUMMYFUNCTION("INDEX(SPLIT(A2755, ""/""), 0, 2)"),"regex")</f>
        <v>regex</v>
      </c>
      <c r="J2755" s="2" t="b">
        <f t="shared" si="1"/>
        <v>0</v>
      </c>
    </row>
    <row r="2756">
      <c r="A2756" s="1" t="s">
        <v>2110</v>
      </c>
      <c r="B2756" s="3">
        <v>197.0</v>
      </c>
      <c r="C2756" s="3">
        <v>60.0</v>
      </c>
      <c r="D2756" s="3">
        <v>0.0</v>
      </c>
      <c r="E2756" s="3">
        <v>0.0</v>
      </c>
      <c r="F2756" s="3">
        <v>0.0</v>
      </c>
      <c r="G2756" s="3">
        <v>0.0</v>
      </c>
      <c r="H2756" s="3">
        <v>0.0</v>
      </c>
      <c r="I2756" s="2" t="str">
        <f>IFERROR(__xludf.DUMMYFUNCTION("INDEX(SPLIT(A2756, ""/""), 0, 2)"),"regex")</f>
        <v>regex</v>
      </c>
      <c r="J2756" s="2" t="b">
        <f t="shared" si="1"/>
        <v>0</v>
      </c>
    </row>
    <row r="2757">
      <c r="A2757" s="1" t="s">
        <v>2111</v>
      </c>
      <c r="B2757" s="3">
        <v>12604.0</v>
      </c>
      <c r="C2757" s="3">
        <v>60.0</v>
      </c>
      <c r="D2757" s="3">
        <v>879.0</v>
      </c>
      <c r="E2757" s="3">
        <v>202.0</v>
      </c>
      <c r="F2757" s="3">
        <v>40.0</v>
      </c>
      <c r="G2757" s="3">
        <v>84.0</v>
      </c>
      <c r="H2757" s="3">
        <v>5.0</v>
      </c>
      <c r="I2757" s="2" t="str">
        <f>IFERROR(__xludf.DUMMYFUNCTION("INDEX(SPLIT(A2757, ""/""), 0, 2)"),"regex")</f>
        <v>regex</v>
      </c>
      <c r="J2757" s="2" t="b">
        <f t="shared" si="1"/>
        <v>1</v>
      </c>
    </row>
    <row r="2758">
      <c r="A2758" s="1" t="s">
        <v>2112</v>
      </c>
      <c r="B2758" s="3">
        <v>1925.0</v>
      </c>
      <c r="C2758" s="3">
        <v>60.0</v>
      </c>
      <c r="D2758" s="3">
        <v>16.0</v>
      </c>
      <c r="E2758" s="3">
        <v>1.0</v>
      </c>
      <c r="F2758" s="3">
        <v>1.0</v>
      </c>
      <c r="G2758" s="3">
        <v>3.0</v>
      </c>
      <c r="H2758" s="3">
        <v>0.0</v>
      </c>
      <c r="I2758" s="2" t="str">
        <f>IFERROR(__xludf.DUMMYFUNCTION("INDEX(SPLIT(A2758, ""/""), 0, 2)"),"regex")</f>
        <v>regex</v>
      </c>
      <c r="J2758" s="2" t="b">
        <f t="shared" si="1"/>
        <v>1</v>
      </c>
    </row>
    <row r="2759">
      <c r="A2759" s="1" t="s">
        <v>2113</v>
      </c>
      <c r="B2759" s="3">
        <v>2004.0</v>
      </c>
      <c r="C2759" s="3">
        <v>60.0</v>
      </c>
      <c r="D2759" s="3">
        <v>60.0</v>
      </c>
      <c r="E2759" s="3">
        <v>5.0</v>
      </c>
      <c r="F2759" s="3">
        <v>3.0</v>
      </c>
      <c r="G2759" s="3">
        <v>5.0</v>
      </c>
      <c r="H2759" s="3">
        <v>1.0</v>
      </c>
      <c r="I2759" s="2" t="str">
        <f>IFERROR(__xludf.DUMMYFUNCTION("INDEX(SPLIT(A2759, ""/""), 0, 2)"),"regex")</f>
        <v>regex</v>
      </c>
      <c r="J2759" s="2" t="b">
        <f t="shared" si="1"/>
        <v>1</v>
      </c>
    </row>
    <row r="2760">
      <c r="A2760" s="1" t="s">
        <v>2114</v>
      </c>
      <c r="B2760" s="3">
        <v>402.0</v>
      </c>
      <c r="C2760" s="3">
        <v>60.0</v>
      </c>
      <c r="D2760" s="3">
        <v>1.0</v>
      </c>
      <c r="E2760" s="3">
        <v>0.0</v>
      </c>
      <c r="F2760" s="3">
        <v>0.0</v>
      </c>
      <c r="G2760" s="3">
        <v>1.0</v>
      </c>
      <c r="H2760" s="3">
        <v>0.0</v>
      </c>
      <c r="I2760" s="2" t="str">
        <f>IFERROR(__xludf.DUMMYFUNCTION("INDEX(SPLIT(A2760, ""/""), 0, 2)"),"regex")</f>
        <v>regex</v>
      </c>
      <c r="J2760" s="2" t="b">
        <f t="shared" si="1"/>
        <v>0</v>
      </c>
    </row>
    <row r="2761">
      <c r="A2761" s="1" t="s">
        <v>2115</v>
      </c>
      <c r="B2761" s="3">
        <v>12535.0</v>
      </c>
      <c r="C2761" s="3">
        <v>60.0</v>
      </c>
      <c r="D2761" s="3">
        <v>1806.0</v>
      </c>
      <c r="E2761" s="3">
        <v>308.0</v>
      </c>
      <c r="F2761" s="3">
        <v>34.0</v>
      </c>
      <c r="G2761" s="3">
        <v>263.0</v>
      </c>
      <c r="H2761" s="3">
        <v>10.0</v>
      </c>
      <c r="I2761" s="2" t="str">
        <f>IFERROR(__xludf.DUMMYFUNCTION("INDEX(SPLIT(A2761, ""/""), 0, 2)"),"regex")</f>
        <v>regex</v>
      </c>
      <c r="J2761" s="2" t="b">
        <f t="shared" si="1"/>
        <v>1</v>
      </c>
    </row>
    <row r="2762">
      <c r="A2762" s="1" t="s">
        <v>2116</v>
      </c>
      <c r="B2762" s="3">
        <v>382.0</v>
      </c>
      <c r="C2762" s="3">
        <v>60.0</v>
      </c>
      <c r="D2762" s="3">
        <v>4.0</v>
      </c>
      <c r="E2762" s="3">
        <v>0.0</v>
      </c>
      <c r="F2762" s="3">
        <v>0.0</v>
      </c>
      <c r="G2762" s="3">
        <v>1.0</v>
      </c>
      <c r="H2762" s="3">
        <v>0.0</v>
      </c>
      <c r="I2762" s="2" t="str">
        <f>IFERROR(__xludf.DUMMYFUNCTION("INDEX(SPLIT(A2762, ""/""), 0, 2)"),"regex")</f>
        <v>regex</v>
      </c>
      <c r="J2762" s="2" t="b">
        <f t="shared" si="1"/>
        <v>0</v>
      </c>
    </row>
    <row r="2763">
      <c r="A2763" s="1" t="s">
        <v>2117</v>
      </c>
      <c r="B2763" s="3">
        <v>121.0</v>
      </c>
      <c r="C2763" s="3">
        <v>60.0</v>
      </c>
      <c r="D2763" s="3">
        <v>0.0</v>
      </c>
      <c r="E2763" s="3">
        <v>0.0</v>
      </c>
      <c r="F2763" s="3">
        <v>0.0</v>
      </c>
      <c r="G2763" s="3">
        <v>0.0</v>
      </c>
      <c r="H2763" s="3">
        <v>0.0</v>
      </c>
      <c r="I2763" s="2" t="str">
        <f>IFERROR(__xludf.DUMMYFUNCTION("INDEX(SPLIT(A2763, ""/""), 0, 2)"),"regex")</f>
        <v>regex</v>
      </c>
      <c r="J2763" s="2" t="b">
        <f t="shared" si="1"/>
        <v>0</v>
      </c>
    </row>
    <row r="2764">
      <c r="A2764" s="1" t="s">
        <v>2118</v>
      </c>
      <c r="B2764" s="3">
        <v>82.0</v>
      </c>
      <c r="C2764" s="3">
        <v>60.0</v>
      </c>
      <c r="D2764" s="3">
        <v>0.0</v>
      </c>
      <c r="E2764" s="3">
        <v>0.0</v>
      </c>
      <c r="F2764" s="3">
        <v>0.0</v>
      </c>
      <c r="G2764" s="3">
        <v>0.0</v>
      </c>
      <c r="H2764" s="3">
        <v>0.0</v>
      </c>
      <c r="I2764" s="2" t="str">
        <f>IFERROR(__xludf.DUMMYFUNCTION("INDEX(SPLIT(A2764, ""/""), 0, 2)"),"regex")</f>
        <v>regex</v>
      </c>
      <c r="J2764" s="2" t="b">
        <f t="shared" si="1"/>
        <v>0</v>
      </c>
    </row>
    <row r="2765">
      <c r="A2765" s="1" t="s">
        <v>2119</v>
      </c>
      <c r="B2765" s="3">
        <v>135.0</v>
      </c>
      <c r="C2765" s="3">
        <v>60.0</v>
      </c>
      <c r="D2765" s="3">
        <v>0.0</v>
      </c>
      <c r="E2765" s="3">
        <v>0.0</v>
      </c>
      <c r="F2765" s="3">
        <v>0.0</v>
      </c>
      <c r="G2765" s="3">
        <v>0.0</v>
      </c>
      <c r="H2765" s="3">
        <v>0.0</v>
      </c>
      <c r="I2765" s="2" t="str">
        <f>IFERROR(__xludf.DUMMYFUNCTION("INDEX(SPLIT(A2765, ""/""), 0, 2)"),"regex")</f>
        <v>regex</v>
      </c>
      <c r="J2765" s="2" t="b">
        <f t="shared" si="1"/>
        <v>0</v>
      </c>
    </row>
    <row r="2766">
      <c r="A2766" s="1" t="s">
        <v>2120</v>
      </c>
      <c r="B2766" s="3">
        <v>39.0</v>
      </c>
      <c r="C2766" s="3">
        <v>60.0</v>
      </c>
      <c r="D2766" s="3">
        <v>0.0</v>
      </c>
      <c r="E2766" s="3">
        <v>0.0</v>
      </c>
      <c r="F2766" s="3">
        <v>0.0</v>
      </c>
      <c r="G2766" s="3">
        <v>0.0</v>
      </c>
      <c r="H2766" s="3">
        <v>0.0</v>
      </c>
      <c r="I2766" s="2" t="str">
        <f>IFERROR(__xludf.DUMMYFUNCTION("INDEX(SPLIT(A2766, ""/""), 0, 2)"),"regex")</f>
        <v>regex</v>
      </c>
      <c r="J2766" s="2" t="b">
        <f t="shared" si="1"/>
        <v>0</v>
      </c>
    </row>
    <row r="2767">
      <c r="A2767" s="1" t="s">
        <v>2121</v>
      </c>
      <c r="B2767" s="3">
        <v>661.0</v>
      </c>
      <c r="C2767" s="3">
        <v>60.0</v>
      </c>
      <c r="D2767" s="3">
        <v>8.0</v>
      </c>
      <c r="E2767" s="3">
        <v>0.0</v>
      </c>
      <c r="F2767" s="3">
        <v>1.0</v>
      </c>
      <c r="G2767" s="3">
        <v>5.0</v>
      </c>
      <c r="H2767" s="3">
        <v>0.0</v>
      </c>
      <c r="I2767" s="2" t="str">
        <f>IFERROR(__xludf.DUMMYFUNCTION("INDEX(SPLIT(A2767, ""/""), 0, 2)"),"regex")</f>
        <v>regex</v>
      </c>
      <c r="J2767" s="2" t="b">
        <f t="shared" si="1"/>
        <v>0</v>
      </c>
    </row>
    <row r="2768">
      <c r="A2768" s="1" t="s">
        <v>2122</v>
      </c>
      <c r="B2768" s="3">
        <v>36.0</v>
      </c>
      <c r="C2768" s="3">
        <v>60.0</v>
      </c>
      <c r="D2768" s="3">
        <v>0.0</v>
      </c>
      <c r="E2768" s="3">
        <v>0.0</v>
      </c>
      <c r="F2768" s="3">
        <v>0.0</v>
      </c>
      <c r="G2768" s="3">
        <v>0.0</v>
      </c>
      <c r="H2768" s="3">
        <v>0.0</v>
      </c>
      <c r="I2768" s="2" t="str">
        <f>IFERROR(__xludf.DUMMYFUNCTION("INDEX(SPLIT(A2768, ""/""), 0, 2)"),"regex")</f>
        <v>regex</v>
      </c>
      <c r="J2768" s="2" t="b">
        <f t="shared" si="1"/>
        <v>0</v>
      </c>
    </row>
    <row r="2769">
      <c r="A2769" s="1" t="s">
        <v>2123</v>
      </c>
      <c r="B2769" s="3">
        <v>36.0</v>
      </c>
      <c r="C2769" s="3">
        <v>60.0</v>
      </c>
      <c r="D2769" s="3">
        <v>0.0</v>
      </c>
      <c r="E2769" s="3">
        <v>0.0</v>
      </c>
      <c r="F2769" s="3">
        <v>0.0</v>
      </c>
      <c r="G2769" s="3">
        <v>0.0</v>
      </c>
      <c r="H2769" s="3">
        <v>0.0</v>
      </c>
      <c r="I2769" s="2" t="str">
        <f>IFERROR(__xludf.DUMMYFUNCTION("INDEX(SPLIT(A2769, ""/""), 0, 2)"),"regex")</f>
        <v>regex</v>
      </c>
      <c r="J2769" s="2" t="b">
        <f t="shared" si="1"/>
        <v>0</v>
      </c>
    </row>
    <row r="2770">
      <c r="A2770" s="1" t="s">
        <v>2124</v>
      </c>
      <c r="B2770" s="3">
        <v>31.0</v>
      </c>
      <c r="C2770" s="3">
        <v>60.0</v>
      </c>
      <c r="D2770" s="3">
        <v>0.0</v>
      </c>
      <c r="E2770" s="3">
        <v>0.0</v>
      </c>
      <c r="F2770" s="3">
        <v>0.0</v>
      </c>
      <c r="G2770" s="3">
        <v>0.0</v>
      </c>
      <c r="H2770" s="3">
        <v>0.0</v>
      </c>
      <c r="I2770" s="2" t="str">
        <f>IFERROR(__xludf.DUMMYFUNCTION("INDEX(SPLIT(A2770, ""/""), 0, 2)"),"regex")</f>
        <v>regex</v>
      </c>
      <c r="J2770" s="2" t="b">
        <f t="shared" si="1"/>
        <v>0</v>
      </c>
    </row>
    <row r="2771">
      <c r="A2771" s="1" t="s">
        <v>2125</v>
      </c>
      <c r="B2771" s="3">
        <v>27.0</v>
      </c>
      <c r="C2771" s="3">
        <v>60.0</v>
      </c>
      <c r="D2771" s="3">
        <v>0.0</v>
      </c>
      <c r="E2771" s="3">
        <v>0.0</v>
      </c>
      <c r="F2771" s="3">
        <v>0.0</v>
      </c>
      <c r="G2771" s="3">
        <v>0.0</v>
      </c>
      <c r="H2771" s="3">
        <v>0.0</v>
      </c>
      <c r="I2771" s="2" t="str">
        <f>IFERROR(__xludf.DUMMYFUNCTION("INDEX(SPLIT(A2771, ""/""), 0, 2)"),"regex")</f>
        <v>regex</v>
      </c>
      <c r="J2771" s="2" t="b">
        <f t="shared" si="1"/>
        <v>0</v>
      </c>
    </row>
    <row r="2772">
      <c r="A2772" s="1" t="s">
        <v>2126</v>
      </c>
      <c r="B2772" s="3">
        <v>148.0</v>
      </c>
      <c r="C2772" s="3">
        <v>60.0</v>
      </c>
      <c r="D2772" s="3">
        <v>0.0</v>
      </c>
      <c r="E2772" s="3">
        <v>0.0</v>
      </c>
      <c r="F2772" s="3">
        <v>0.0</v>
      </c>
      <c r="G2772" s="3">
        <v>0.0</v>
      </c>
      <c r="H2772" s="3">
        <v>0.0</v>
      </c>
      <c r="I2772" s="2" t="str">
        <f>IFERROR(__xludf.DUMMYFUNCTION("INDEX(SPLIT(A2772, ""/""), 0, 2)"),"regex")</f>
        <v>regex</v>
      </c>
      <c r="J2772" s="2" t="b">
        <f t="shared" si="1"/>
        <v>0</v>
      </c>
    </row>
    <row r="2773">
      <c r="A2773" s="1" t="s">
        <v>2127</v>
      </c>
      <c r="B2773" s="3">
        <v>59.0</v>
      </c>
      <c r="C2773" s="3">
        <v>60.0</v>
      </c>
      <c r="D2773" s="3">
        <v>0.0</v>
      </c>
      <c r="E2773" s="3">
        <v>0.0</v>
      </c>
      <c r="F2773" s="3">
        <v>0.0</v>
      </c>
      <c r="G2773" s="3">
        <v>0.0</v>
      </c>
      <c r="H2773" s="3">
        <v>0.0</v>
      </c>
      <c r="I2773" s="2" t="str">
        <f>IFERROR(__xludf.DUMMYFUNCTION("INDEX(SPLIT(A2773, ""/""), 0, 2)"),"regex")</f>
        <v>regex</v>
      </c>
      <c r="J2773" s="2" t="b">
        <f t="shared" si="1"/>
        <v>0</v>
      </c>
    </row>
    <row r="2774">
      <c r="A2774" s="1" t="s">
        <v>2128</v>
      </c>
      <c r="B2774" s="3">
        <v>23.0</v>
      </c>
      <c r="C2774" s="3">
        <v>60.0</v>
      </c>
      <c r="D2774" s="3">
        <v>0.0</v>
      </c>
      <c r="E2774" s="3">
        <v>0.0</v>
      </c>
      <c r="F2774" s="3">
        <v>0.0</v>
      </c>
      <c r="G2774" s="3">
        <v>0.0</v>
      </c>
      <c r="H2774" s="3">
        <v>0.0</v>
      </c>
      <c r="I2774" s="2" t="str">
        <f>IFERROR(__xludf.DUMMYFUNCTION("INDEX(SPLIT(A2774, ""/""), 0, 2)"),"regex")</f>
        <v>regex</v>
      </c>
      <c r="J2774" s="2" t="b">
        <f t="shared" si="1"/>
        <v>0</v>
      </c>
    </row>
    <row r="2775">
      <c r="A2775" s="1" t="s">
        <v>2129</v>
      </c>
      <c r="B2775" s="3">
        <v>28.0</v>
      </c>
      <c r="C2775" s="3">
        <v>60.0</v>
      </c>
      <c r="D2775" s="3">
        <v>0.0</v>
      </c>
      <c r="E2775" s="3">
        <v>0.0</v>
      </c>
      <c r="F2775" s="3">
        <v>0.0</v>
      </c>
      <c r="G2775" s="3">
        <v>0.0</v>
      </c>
      <c r="H2775" s="3">
        <v>0.0</v>
      </c>
      <c r="I2775" s="2" t="str">
        <f>IFERROR(__xludf.DUMMYFUNCTION("INDEX(SPLIT(A2775, ""/""), 0, 2)"),"regex")</f>
        <v>regex</v>
      </c>
      <c r="J2775" s="2" t="b">
        <f t="shared" si="1"/>
        <v>0</v>
      </c>
    </row>
    <row r="2776">
      <c r="A2776" s="1" t="s">
        <v>2130</v>
      </c>
      <c r="B2776" s="3">
        <v>23.0</v>
      </c>
      <c r="C2776" s="3">
        <v>60.0</v>
      </c>
      <c r="D2776" s="3">
        <v>0.0</v>
      </c>
      <c r="E2776" s="3">
        <v>0.0</v>
      </c>
      <c r="F2776" s="3">
        <v>0.0</v>
      </c>
      <c r="G2776" s="3">
        <v>0.0</v>
      </c>
      <c r="H2776" s="3">
        <v>0.0</v>
      </c>
      <c r="I2776" s="2" t="str">
        <f>IFERROR(__xludf.DUMMYFUNCTION("INDEX(SPLIT(A2776, ""/""), 0, 2)"),"regex")</f>
        <v>regex</v>
      </c>
      <c r="J2776" s="2" t="b">
        <f t="shared" si="1"/>
        <v>0</v>
      </c>
    </row>
    <row r="2777">
      <c r="A2777" s="1" t="s">
        <v>2131</v>
      </c>
      <c r="B2777" s="3">
        <v>23.0</v>
      </c>
      <c r="C2777" s="3">
        <v>60.0</v>
      </c>
      <c r="D2777" s="3">
        <v>0.0</v>
      </c>
      <c r="E2777" s="3">
        <v>0.0</v>
      </c>
      <c r="F2777" s="3">
        <v>0.0</v>
      </c>
      <c r="G2777" s="3">
        <v>0.0</v>
      </c>
      <c r="H2777" s="3">
        <v>0.0</v>
      </c>
      <c r="I2777" s="2" t="str">
        <f>IFERROR(__xludf.DUMMYFUNCTION("INDEX(SPLIT(A2777, ""/""), 0, 2)"),"regex")</f>
        <v>regex</v>
      </c>
      <c r="J2777" s="2" t="b">
        <f t="shared" si="1"/>
        <v>0</v>
      </c>
    </row>
    <row r="2778">
      <c r="A2778" s="1" t="s">
        <v>2132</v>
      </c>
      <c r="B2778" s="3">
        <v>39.0</v>
      </c>
      <c r="C2778" s="3">
        <v>60.0</v>
      </c>
      <c r="D2778" s="3">
        <v>0.0</v>
      </c>
      <c r="E2778" s="3">
        <v>0.0</v>
      </c>
      <c r="F2778" s="3">
        <v>0.0</v>
      </c>
      <c r="G2778" s="3">
        <v>0.0</v>
      </c>
      <c r="H2778" s="3">
        <v>0.0</v>
      </c>
      <c r="I2778" s="2" t="str">
        <f>IFERROR(__xludf.DUMMYFUNCTION("INDEX(SPLIT(A2778, ""/""), 0, 2)"),"regex")</f>
        <v>regex</v>
      </c>
      <c r="J2778" s="2" t="b">
        <f t="shared" si="1"/>
        <v>0</v>
      </c>
    </row>
    <row r="2779">
      <c r="A2779" s="1" t="s">
        <v>2133</v>
      </c>
      <c r="B2779" s="3">
        <v>918.0</v>
      </c>
      <c r="C2779" s="3">
        <v>60.0</v>
      </c>
      <c r="D2779" s="3">
        <v>21.0</v>
      </c>
      <c r="E2779" s="3">
        <v>3.0</v>
      </c>
      <c r="F2779" s="3">
        <v>1.0</v>
      </c>
      <c r="G2779" s="3">
        <v>3.0</v>
      </c>
      <c r="H2779" s="3">
        <v>0.0</v>
      </c>
      <c r="I2779" s="2" t="str">
        <f>IFERROR(__xludf.DUMMYFUNCTION("INDEX(SPLIT(A2779, ""/""), 0, 2)"),"regex")</f>
        <v>regex</v>
      </c>
      <c r="J2779" s="2" t="b">
        <f t="shared" si="1"/>
        <v>1</v>
      </c>
    </row>
    <row r="2780">
      <c r="A2780" s="1" t="s">
        <v>2134</v>
      </c>
      <c r="B2780" s="3">
        <v>140.0</v>
      </c>
      <c r="C2780" s="3">
        <v>60.0</v>
      </c>
      <c r="D2780" s="3">
        <v>0.0</v>
      </c>
      <c r="E2780" s="3">
        <v>0.0</v>
      </c>
      <c r="F2780" s="3">
        <v>0.0</v>
      </c>
      <c r="G2780" s="3">
        <v>0.0</v>
      </c>
      <c r="H2780" s="3">
        <v>0.0</v>
      </c>
      <c r="I2780" s="2" t="str">
        <f>IFERROR(__xludf.DUMMYFUNCTION("INDEX(SPLIT(A2780, ""/""), 0, 2)"),"regex")</f>
        <v>regex</v>
      </c>
      <c r="J2780" s="2" t="b">
        <f t="shared" si="1"/>
        <v>0</v>
      </c>
    </row>
    <row r="2781">
      <c r="A2781" s="1" t="s">
        <v>2135</v>
      </c>
      <c r="B2781" s="3">
        <v>1.0</v>
      </c>
      <c r="C2781" s="3">
        <v>60.0</v>
      </c>
      <c r="D2781" s="3">
        <v>0.0</v>
      </c>
      <c r="E2781" s="3">
        <v>0.0</v>
      </c>
      <c r="F2781" s="3">
        <v>0.0</v>
      </c>
      <c r="G2781" s="3">
        <v>0.0</v>
      </c>
      <c r="H2781" s="3">
        <v>0.0</v>
      </c>
      <c r="I2781" s="2" t="str">
        <f>IFERROR(__xludf.DUMMYFUNCTION("INDEX(SPLIT(A2781, ""/""), 0, 2)"),"regex")</f>
        <v>regex</v>
      </c>
      <c r="J2781" s="2" t="b">
        <f t="shared" si="1"/>
        <v>0</v>
      </c>
    </row>
    <row r="2782">
      <c r="A2782" s="1" t="s">
        <v>2136</v>
      </c>
      <c r="B2782" s="3">
        <v>31.0</v>
      </c>
      <c r="C2782" s="3">
        <v>60.0</v>
      </c>
      <c r="D2782" s="3">
        <v>0.0</v>
      </c>
      <c r="E2782" s="3">
        <v>0.0</v>
      </c>
      <c r="F2782" s="3">
        <v>0.0</v>
      </c>
      <c r="G2782" s="3">
        <v>0.0</v>
      </c>
      <c r="H2782" s="3">
        <v>0.0</v>
      </c>
      <c r="I2782" s="2" t="str">
        <f>IFERROR(__xludf.DUMMYFUNCTION("INDEX(SPLIT(A2782, ""/""), 0, 2)"),"regex")</f>
        <v>regex</v>
      </c>
      <c r="J2782" s="2" t="b">
        <f t="shared" si="1"/>
        <v>0</v>
      </c>
    </row>
    <row r="2783">
      <c r="A2783" s="1" t="s">
        <v>2137</v>
      </c>
      <c r="B2783" s="3">
        <v>23.0</v>
      </c>
      <c r="C2783" s="3">
        <v>60.0</v>
      </c>
      <c r="D2783" s="3">
        <v>0.0</v>
      </c>
      <c r="E2783" s="3">
        <v>0.0</v>
      </c>
      <c r="F2783" s="3">
        <v>0.0</v>
      </c>
      <c r="G2783" s="3">
        <v>0.0</v>
      </c>
      <c r="H2783" s="3">
        <v>0.0</v>
      </c>
      <c r="I2783" s="2" t="str">
        <f>IFERROR(__xludf.DUMMYFUNCTION("INDEX(SPLIT(A2783, ""/""), 0, 2)"),"regex")</f>
        <v>regex</v>
      </c>
      <c r="J2783" s="2" t="b">
        <f t="shared" si="1"/>
        <v>0</v>
      </c>
    </row>
    <row r="2784">
      <c r="A2784" s="1" t="s">
        <v>2138</v>
      </c>
      <c r="B2784" s="3">
        <v>26.0</v>
      </c>
      <c r="C2784" s="3">
        <v>60.0</v>
      </c>
      <c r="D2784" s="3">
        <v>0.0</v>
      </c>
      <c r="E2784" s="3">
        <v>0.0</v>
      </c>
      <c r="F2784" s="3">
        <v>0.0</v>
      </c>
      <c r="G2784" s="3">
        <v>0.0</v>
      </c>
      <c r="H2784" s="3">
        <v>0.0</v>
      </c>
      <c r="I2784" s="2" t="str">
        <f>IFERROR(__xludf.DUMMYFUNCTION("INDEX(SPLIT(A2784, ""/""), 0, 2)"),"regex")</f>
        <v>regex</v>
      </c>
      <c r="J2784" s="2" t="b">
        <f t="shared" si="1"/>
        <v>0</v>
      </c>
    </row>
    <row r="2785">
      <c r="A2785" s="1" t="s">
        <v>2139</v>
      </c>
      <c r="B2785" s="3">
        <v>54.0</v>
      </c>
      <c r="C2785" s="3">
        <v>60.0</v>
      </c>
      <c r="D2785" s="3">
        <v>0.0</v>
      </c>
      <c r="E2785" s="3">
        <v>0.0</v>
      </c>
      <c r="F2785" s="3">
        <v>0.0</v>
      </c>
      <c r="G2785" s="3">
        <v>0.0</v>
      </c>
      <c r="H2785" s="3">
        <v>0.0</v>
      </c>
      <c r="I2785" s="2" t="str">
        <f>IFERROR(__xludf.DUMMYFUNCTION("INDEX(SPLIT(A2785, ""/""), 0, 2)"),"regex")</f>
        <v>regex</v>
      </c>
      <c r="J2785" s="2" t="b">
        <f t="shared" si="1"/>
        <v>0</v>
      </c>
    </row>
    <row r="2786">
      <c r="A2786" s="1" t="s">
        <v>2140</v>
      </c>
      <c r="B2786" s="3">
        <v>34.0</v>
      </c>
      <c r="C2786" s="3">
        <v>60.0</v>
      </c>
      <c r="D2786" s="3">
        <v>0.0</v>
      </c>
      <c r="E2786" s="3">
        <v>0.0</v>
      </c>
      <c r="F2786" s="3">
        <v>0.0</v>
      </c>
      <c r="G2786" s="3">
        <v>0.0</v>
      </c>
      <c r="H2786" s="3">
        <v>0.0</v>
      </c>
      <c r="I2786" s="2" t="str">
        <f>IFERROR(__xludf.DUMMYFUNCTION("INDEX(SPLIT(A2786, ""/""), 0, 2)"),"regex")</f>
        <v>regex</v>
      </c>
      <c r="J2786" s="2" t="b">
        <f t="shared" si="1"/>
        <v>0</v>
      </c>
    </row>
    <row r="2787">
      <c r="A2787" s="1" t="s">
        <v>2141</v>
      </c>
      <c r="B2787" s="3">
        <v>657.0</v>
      </c>
      <c r="C2787" s="3">
        <v>60.0</v>
      </c>
      <c r="D2787" s="3">
        <v>4.0</v>
      </c>
      <c r="E2787" s="3">
        <v>1.0</v>
      </c>
      <c r="F2787" s="3">
        <v>0.0</v>
      </c>
      <c r="G2787" s="3">
        <v>3.0</v>
      </c>
      <c r="H2787" s="3">
        <v>0.0</v>
      </c>
      <c r="I2787" s="2" t="str">
        <f>IFERROR(__xludf.DUMMYFUNCTION("INDEX(SPLIT(A2787, ""/""), 0, 2)"),"regex")</f>
        <v>regex</v>
      </c>
      <c r="J2787" s="2" t="b">
        <f t="shared" si="1"/>
        <v>0</v>
      </c>
    </row>
    <row r="2788">
      <c r="A2788" s="1" t="s">
        <v>2142</v>
      </c>
      <c r="B2788" s="3">
        <v>23.0</v>
      </c>
      <c r="C2788" s="3">
        <v>60.0</v>
      </c>
      <c r="D2788" s="3">
        <v>0.0</v>
      </c>
      <c r="E2788" s="3">
        <v>0.0</v>
      </c>
      <c r="F2788" s="3">
        <v>0.0</v>
      </c>
      <c r="G2788" s="3">
        <v>0.0</v>
      </c>
      <c r="H2788" s="3">
        <v>0.0</v>
      </c>
      <c r="I2788" s="2" t="str">
        <f>IFERROR(__xludf.DUMMYFUNCTION("INDEX(SPLIT(A2788, ""/""), 0, 2)"),"regex")</f>
        <v>regex</v>
      </c>
      <c r="J2788" s="2" t="b">
        <f t="shared" si="1"/>
        <v>0</v>
      </c>
    </row>
    <row r="2789">
      <c r="A2789" s="1" t="s">
        <v>2143</v>
      </c>
      <c r="B2789" s="3">
        <v>1.0</v>
      </c>
      <c r="C2789" s="3">
        <v>60.0</v>
      </c>
      <c r="D2789" s="3">
        <v>0.0</v>
      </c>
      <c r="E2789" s="3">
        <v>0.0</v>
      </c>
      <c r="F2789" s="3">
        <v>0.0</v>
      </c>
      <c r="G2789" s="3">
        <v>0.0</v>
      </c>
      <c r="H2789" s="3">
        <v>0.0</v>
      </c>
      <c r="I2789" s="2" t="str">
        <f>IFERROR(__xludf.DUMMYFUNCTION("INDEX(SPLIT(A2789, ""/""), 0, 2)"),"regex")</f>
        <v>regex</v>
      </c>
      <c r="J2789" s="2" t="b">
        <f t="shared" si="1"/>
        <v>0</v>
      </c>
    </row>
    <row r="2790">
      <c r="A2790" s="1" t="s">
        <v>2144</v>
      </c>
      <c r="B2790" s="3">
        <v>40.0</v>
      </c>
      <c r="C2790" s="3">
        <v>60.0</v>
      </c>
      <c r="D2790" s="3">
        <v>0.0</v>
      </c>
      <c r="E2790" s="3">
        <v>0.0</v>
      </c>
      <c r="F2790" s="3">
        <v>0.0</v>
      </c>
      <c r="G2790" s="3">
        <v>0.0</v>
      </c>
      <c r="H2790" s="3">
        <v>0.0</v>
      </c>
      <c r="I2790" s="2" t="str">
        <f>IFERROR(__xludf.DUMMYFUNCTION("INDEX(SPLIT(A2790, ""/""), 0, 2)"),"regex")</f>
        <v>regex</v>
      </c>
      <c r="J2790" s="2" t="b">
        <f t="shared" si="1"/>
        <v>0</v>
      </c>
    </row>
    <row r="2791">
      <c r="A2791" s="1" t="s">
        <v>2145</v>
      </c>
      <c r="B2791" s="3">
        <v>34.0</v>
      </c>
      <c r="C2791" s="3">
        <v>60.0</v>
      </c>
      <c r="D2791" s="3">
        <v>0.0</v>
      </c>
      <c r="E2791" s="3">
        <v>0.0</v>
      </c>
      <c r="F2791" s="3">
        <v>0.0</v>
      </c>
      <c r="G2791" s="3">
        <v>0.0</v>
      </c>
      <c r="H2791" s="3">
        <v>0.0</v>
      </c>
      <c r="I2791" s="2" t="str">
        <f>IFERROR(__xludf.DUMMYFUNCTION("INDEX(SPLIT(A2791, ""/""), 0, 2)"),"regex")</f>
        <v>regex</v>
      </c>
      <c r="J2791" s="2" t="b">
        <f t="shared" si="1"/>
        <v>0</v>
      </c>
    </row>
    <row r="2792">
      <c r="A2792" s="1" t="s">
        <v>2146</v>
      </c>
      <c r="B2792" s="3">
        <v>36.0</v>
      </c>
      <c r="C2792" s="3">
        <v>60.0</v>
      </c>
      <c r="D2792" s="3">
        <v>0.0</v>
      </c>
      <c r="E2792" s="3">
        <v>0.0</v>
      </c>
      <c r="F2792" s="3">
        <v>0.0</v>
      </c>
      <c r="G2792" s="3">
        <v>0.0</v>
      </c>
      <c r="H2792" s="3">
        <v>0.0</v>
      </c>
      <c r="I2792" s="2" t="str">
        <f>IFERROR(__xludf.DUMMYFUNCTION("INDEX(SPLIT(A2792, ""/""), 0, 2)"),"regex")</f>
        <v>regex</v>
      </c>
      <c r="J2792" s="2" t="b">
        <f t="shared" si="1"/>
        <v>0</v>
      </c>
    </row>
    <row r="2793">
      <c r="A2793" s="1" t="s">
        <v>2147</v>
      </c>
      <c r="B2793" s="3">
        <v>238.0</v>
      </c>
      <c r="C2793" s="3">
        <v>60.0</v>
      </c>
      <c r="D2793" s="3">
        <v>1.0</v>
      </c>
      <c r="E2793" s="3">
        <v>0.0</v>
      </c>
      <c r="F2793" s="3">
        <v>0.0</v>
      </c>
      <c r="G2793" s="3">
        <v>1.0</v>
      </c>
      <c r="H2793" s="3">
        <v>0.0</v>
      </c>
      <c r="I2793" s="2" t="str">
        <f>IFERROR(__xludf.DUMMYFUNCTION("INDEX(SPLIT(A2793, ""/""), 0, 2)"),"regex")</f>
        <v>regex</v>
      </c>
      <c r="J2793" s="2" t="b">
        <f t="shared" si="1"/>
        <v>0</v>
      </c>
    </row>
    <row r="2794">
      <c r="A2794" s="1" t="s">
        <v>2148</v>
      </c>
      <c r="B2794" s="3">
        <v>36.0</v>
      </c>
      <c r="C2794" s="3">
        <v>60.0</v>
      </c>
      <c r="D2794" s="3">
        <v>0.0</v>
      </c>
      <c r="E2794" s="3">
        <v>0.0</v>
      </c>
      <c r="F2794" s="3">
        <v>0.0</v>
      </c>
      <c r="G2794" s="3">
        <v>0.0</v>
      </c>
      <c r="H2794" s="3">
        <v>0.0</v>
      </c>
      <c r="I2794" s="2" t="str">
        <f>IFERROR(__xludf.DUMMYFUNCTION("INDEX(SPLIT(A2794, ""/""), 0, 2)"),"regex")</f>
        <v>regex</v>
      </c>
      <c r="J2794" s="2" t="b">
        <f t="shared" si="1"/>
        <v>0</v>
      </c>
    </row>
    <row r="2795">
      <c r="A2795" s="1" t="s">
        <v>2149</v>
      </c>
      <c r="B2795" s="3">
        <v>68.0</v>
      </c>
      <c r="C2795" s="3">
        <v>60.0</v>
      </c>
      <c r="D2795" s="3">
        <v>0.0</v>
      </c>
      <c r="E2795" s="3">
        <v>0.0</v>
      </c>
      <c r="F2795" s="3">
        <v>0.0</v>
      </c>
      <c r="G2795" s="3">
        <v>0.0</v>
      </c>
      <c r="H2795" s="3">
        <v>0.0</v>
      </c>
      <c r="I2795" s="2" t="str">
        <f>IFERROR(__xludf.DUMMYFUNCTION("INDEX(SPLIT(A2795, ""/""), 0, 2)"),"regex")</f>
        <v>regex</v>
      </c>
      <c r="J2795" s="2" t="b">
        <f t="shared" si="1"/>
        <v>0</v>
      </c>
    </row>
    <row r="2796">
      <c r="A2796" s="1" t="s">
        <v>2150</v>
      </c>
      <c r="B2796" s="3">
        <v>574.0</v>
      </c>
      <c r="C2796" s="3">
        <v>60.0</v>
      </c>
      <c r="D2796" s="3">
        <v>0.0</v>
      </c>
      <c r="E2796" s="3">
        <v>0.0</v>
      </c>
      <c r="F2796" s="3">
        <v>0.0</v>
      </c>
      <c r="G2796" s="3">
        <v>0.0</v>
      </c>
      <c r="H2796" s="3">
        <v>0.0</v>
      </c>
      <c r="I2796" s="2" t="str">
        <f>IFERROR(__xludf.DUMMYFUNCTION("INDEX(SPLIT(A2796, ""/""), 0, 2)"),"regex")</f>
        <v>regex</v>
      </c>
      <c r="J2796" s="2" t="b">
        <f t="shared" si="1"/>
        <v>0</v>
      </c>
    </row>
    <row r="2797">
      <c r="A2797" s="1" t="s">
        <v>2151</v>
      </c>
      <c r="B2797" s="3">
        <v>1192.0</v>
      </c>
      <c r="C2797" s="3">
        <v>60.0</v>
      </c>
      <c r="D2797" s="3">
        <v>11.0</v>
      </c>
      <c r="E2797" s="3">
        <v>0.0</v>
      </c>
      <c r="F2797" s="3">
        <v>0.0</v>
      </c>
      <c r="G2797" s="3">
        <v>1.0</v>
      </c>
      <c r="H2797" s="3">
        <v>0.0</v>
      </c>
      <c r="I2797" s="2" t="str">
        <f>IFERROR(__xludf.DUMMYFUNCTION("INDEX(SPLIT(A2797, ""/""), 0, 2)"),"regex")</f>
        <v>regex</v>
      </c>
      <c r="J2797" s="2" t="b">
        <f t="shared" si="1"/>
        <v>1</v>
      </c>
    </row>
    <row r="2798">
      <c r="A2798" s="1" t="s">
        <v>2152</v>
      </c>
      <c r="B2798" s="3">
        <v>731.0</v>
      </c>
      <c r="C2798" s="3">
        <v>60.0</v>
      </c>
      <c r="D2798" s="3">
        <v>0.0</v>
      </c>
      <c r="E2798" s="3">
        <v>0.0</v>
      </c>
      <c r="F2798" s="3">
        <v>0.0</v>
      </c>
      <c r="G2798" s="3">
        <v>0.0</v>
      </c>
      <c r="H2798" s="3">
        <v>0.0</v>
      </c>
      <c r="I2798" s="2" t="str">
        <f>IFERROR(__xludf.DUMMYFUNCTION("INDEX(SPLIT(A2798, ""/""), 0, 2)"),"regex")</f>
        <v>regex</v>
      </c>
      <c r="J2798" s="2" t="b">
        <f t="shared" si="1"/>
        <v>0</v>
      </c>
    </row>
    <row r="2799">
      <c r="A2799" s="1" t="s">
        <v>2153</v>
      </c>
      <c r="B2799" s="3">
        <v>792.0</v>
      </c>
      <c r="C2799" s="3">
        <v>60.0</v>
      </c>
      <c r="D2799" s="3">
        <v>3.0</v>
      </c>
      <c r="E2799" s="3">
        <v>0.0</v>
      </c>
      <c r="F2799" s="3">
        <v>0.0</v>
      </c>
      <c r="G2799" s="3">
        <v>1.0</v>
      </c>
      <c r="H2799" s="3">
        <v>0.0</v>
      </c>
      <c r="I2799" s="2" t="str">
        <f>IFERROR(__xludf.DUMMYFUNCTION("INDEX(SPLIT(A2799, ""/""), 0, 2)"),"regex")</f>
        <v>regex</v>
      </c>
      <c r="J2799" s="2" t="b">
        <f t="shared" si="1"/>
        <v>0</v>
      </c>
    </row>
    <row r="2800">
      <c r="A2800" s="1" t="s">
        <v>2154</v>
      </c>
      <c r="B2800" s="3">
        <v>173.0</v>
      </c>
      <c r="C2800" s="3">
        <v>60.0</v>
      </c>
      <c r="D2800" s="3">
        <v>0.0</v>
      </c>
      <c r="E2800" s="3">
        <v>0.0</v>
      </c>
      <c r="F2800" s="3">
        <v>0.0</v>
      </c>
      <c r="G2800" s="3">
        <v>0.0</v>
      </c>
      <c r="H2800" s="3">
        <v>0.0</v>
      </c>
      <c r="I2800" s="2" t="str">
        <f>IFERROR(__xludf.DUMMYFUNCTION("INDEX(SPLIT(A2800, ""/""), 0, 2)"),"regex")</f>
        <v>regex</v>
      </c>
      <c r="J2800" s="2" t="b">
        <f t="shared" si="1"/>
        <v>0</v>
      </c>
    </row>
    <row r="2801">
      <c r="A2801" s="1" t="s">
        <v>2155</v>
      </c>
      <c r="B2801" s="3">
        <v>77.0</v>
      </c>
      <c r="C2801" s="3">
        <v>60.0</v>
      </c>
      <c r="D2801" s="3">
        <v>0.0</v>
      </c>
      <c r="E2801" s="3">
        <v>0.0</v>
      </c>
      <c r="F2801" s="3">
        <v>0.0</v>
      </c>
      <c r="G2801" s="3">
        <v>0.0</v>
      </c>
      <c r="H2801" s="3">
        <v>0.0</v>
      </c>
      <c r="I2801" s="2" t="str">
        <f>IFERROR(__xludf.DUMMYFUNCTION("INDEX(SPLIT(A2801, ""/""), 0, 2)"),"regex")</f>
        <v>regex</v>
      </c>
      <c r="J2801" s="2" t="b">
        <f t="shared" si="1"/>
        <v>0</v>
      </c>
    </row>
    <row r="2802">
      <c r="A2802" s="1" t="s">
        <v>2156</v>
      </c>
      <c r="B2802" s="3">
        <v>107.0</v>
      </c>
      <c r="C2802" s="3">
        <v>60.0</v>
      </c>
      <c r="D2802" s="3">
        <v>0.0</v>
      </c>
      <c r="E2802" s="3">
        <v>0.0</v>
      </c>
      <c r="F2802" s="3">
        <v>0.0</v>
      </c>
      <c r="G2802" s="3">
        <v>0.0</v>
      </c>
      <c r="H2802" s="3">
        <v>0.0</v>
      </c>
      <c r="I2802" s="2" t="str">
        <f>IFERROR(__xludf.DUMMYFUNCTION("INDEX(SPLIT(A2802, ""/""), 0, 2)"),"regex")</f>
        <v>regex</v>
      </c>
      <c r="J2802" s="2" t="b">
        <f t="shared" si="1"/>
        <v>0</v>
      </c>
    </row>
    <row r="2803">
      <c r="A2803" s="1" t="s">
        <v>2157</v>
      </c>
      <c r="B2803" s="3">
        <v>3203.0</v>
      </c>
      <c r="C2803" s="3">
        <v>60.0</v>
      </c>
      <c r="D2803" s="3">
        <v>18.0</v>
      </c>
      <c r="E2803" s="3">
        <v>1.0</v>
      </c>
      <c r="F2803" s="3">
        <v>1.0</v>
      </c>
      <c r="G2803" s="3">
        <v>1.0</v>
      </c>
      <c r="H2803" s="3">
        <v>1.0</v>
      </c>
      <c r="I2803" s="2" t="str">
        <f>IFERROR(__xludf.DUMMYFUNCTION("INDEX(SPLIT(A2803, ""/""), 0, 2)"),"regex")</f>
        <v>regex</v>
      </c>
      <c r="J2803" s="2" t="b">
        <f t="shared" si="1"/>
        <v>1</v>
      </c>
    </row>
    <row r="2804">
      <c r="A2804" s="1" t="s">
        <v>2158</v>
      </c>
      <c r="B2804" s="3">
        <v>284.0</v>
      </c>
      <c r="C2804" s="3">
        <v>60.0</v>
      </c>
      <c r="D2804" s="3">
        <v>1.0</v>
      </c>
      <c r="E2804" s="3">
        <v>0.0</v>
      </c>
      <c r="F2804" s="3">
        <v>0.0</v>
      </c>
      <c r="G2804" s="3">
        <v>0.0</v>
      </c>
      <c r="H2804" s="3">
        <v>0.0</v>
      </c>
      <c r="I2804" s="2" t="str">
        <f>IFERROR(__xludf.DUMMYFUNCTION("INDEX(SPLIT(A2804, ""/""), 0, 2)"),"regex")</f>
        <v>regex</v>
      </c>
      <c r="J2804" s="2" t="b">
        <f t="shared" si="1"/>
        <v>0</v>
      </c>
    </row>
    <row r="2805">
      <c r="A2805" s="1" t="s">
        <v>2159</v>
      </c>
      <c r="B2805" s="3">
        <v>2832.0</v>
      </c>
      <c r="C2805" s="3">
        <v>60.0</v>
      </c>
      <c r="D2805" s="3">
        <v>1.0</v>
      </c>
      <c r="E2805" s="3">
        <v>1.0</v>
      </c>
      <c r="F2805" s="3">
        <v>1.0</v>
      </c>
      <c r="G2805" s="3">
        <v>1.0</v>
      </c>
      <c r="H2805" s="3">
        <v>1.0</v>
      </c>
      <c r="I2805" s="2" t="str">
        <f>IFERROR(__xludf.DUMMYFUNCTION("INDEX(SPLIT(A2805, ""/""), 0, 2)"),"regex")</f>
        <v>regex</v>
      </c>
      <c r="J2805" s="2" t="b">
        <f t="shared" si="1"/>
        <v>0</v>
      </c>
    </row>
    <row r="2806">
      <c r="A2806" s="1" t="s">
        <v>2160</v>
      </c>
      <c r="B2806" s="3">
        <v>91.0</v>
      </c>
      <c r="C2806" s="3">
        <v>60.0</v>
      </c>
      <c r="D2806" s="3">
        <v>0.0</v>
      </c>
      <c r="E2806" s="3">
        <v>0.0</v>
      </c>
      <c r="F2806" s="3">
        <v>0.0</v>
      </c>
      <c r="G2806" s="3">
        <v>0.0</v>
      </c>
      <c r="H2806" s="3">
        <v>0.0</v>
      </c>
      <c r="I2806" s="2" t="str">
        <f>IFERROR(__xludf.DUMMYFUNCTION("INDEX(SPLIT(A2806, ""/""), 0, 2)"),"regex")</f>
        <v>regex</v>
      </c>
      <c r="J2806" s="2" t="b">
        <f t="shared" si="1"/>
        <v>0</v>
      </c>
    </row>
    <row r="2807">
      <c r="A2807" s="1" t="s">
        <v>2161</v>
      </c>
      <c r="B2807" s="3">
        <v>66.0</v>
      </c>
      <c r="C2807" s="3">
        <v>60.0</v>
      </c>
      <c r="D2807" s="3">
        <v>0.0</v>
      </c>
      <c r="E2807" s="3">
        <v>0.0</v>
      </c>
      <c r="F2807" s="3">
        <v>0.0</v>
      </c>
      <c r="G2807" s="3">
        <v>0.0</v>
      </c>
      <c r="H2807" s="3">
        <v>0.0</v>
      </c>
      <c r="I2807" s="2" t="str">
        <f>IFERROR(__xludf.DUMMYFUNCTION("INDEX(SPLIT(A2807, ""/""), 0, 2)"),"regex")</f>
        <v>regex</v>
      </c>
      <c r="J2807" s="2" t="b">
        <f t="shared" si="1"/>
        <v>0</v>
      </c>
    </row>
    <row r="2808">
      <c r="A2808" s="1" t="s">
        <v>2162</v>
      </c>
      <c r="B2808" s="3">
        <v>2180.0</v>
      </c>
      <c r="C2808" s="3">
        <v>60.0</v>
      </c>
      <c r="D2808" s="3">
        <v>3.0</v>
      </c>
      <c r="E2808" s="3">
        <v>1.0</v>
      </c>
      <c r="F2808" s="3">
        <v>1.0</v>
      </c>
      <c r="G2808" s="3">
        <v>1.0</v>
      </c>
      <c r="H2808" s="3">
        <v>1.0</v>
      </c>
      <c r="I2808" s="2" t="str">
        <f>IFERROR(__xludf.DUMMYFUNCTION("INDEX(SPLIT(A2808, ""/""), 0, 2)"),"regex")</f>
        <v>regex</v>
      </c>
      <c r="J2808" s="2" t="b">
        <f t="shared" si="1"/>
        <v>0</v>
      </c>
    </row>
    <row r="2809">
      <c r="A2809" s="1" t="s">
        <v>2163</v>
      </c>
      <c r="B2809" s="3">
        <v>63.0</v>
      </c>
      <c r="C2809" s="3">
        <v>60.0</v>
      </c>
      <c r="D2809" s="3">
        <v>0.0</v>
      </c>
      <c r="E2809" s="3">
        <v>0.0</v>
      </c>
      <c r="F2809" s="3">
        <v>0.0</v>
      </c>
      <c r="G2809" s="3">
        <v>0.0</v>
      </c>
      <c r="H2809" s="3">
        <v>0.0</v>
      </c>
      <c r="I2809" s="2" t="str">
        <f>IFERROR(__xludf.DUMMYFUNCTION("INDEX(SPLIT(A2809, ""/""), 0, 2)"),"regex")</f>
        <v>regex</v>
      </c>
      <c r="J2809" s="2" t="b">
        <f t="shared" si="1"/>
        <v>0</v>
      </c>
    </row>
    <row r="2810">
      <c r="A2810" s="1" t="s">
        <v>2164</v>
      </c>
      <c r="B2810" s="3">
        <v>1880.0</v>
      </c>
      <c r="C2810" s="3">
        <v>60.0</v>
      </c>
      <c r="D2810" s="3">
        <v>9.0</v>
      </c>
      <c r="E2810" s="3">
        <v>0.0</v>
      </c>
      <c r="F2810" s="3">
        <v>1.0</v>
      </c>
      <c r="G2810" s="3">
        <v>1.0</v>
      </c>
      <c r="H2810" s="3">
        <v>0.0</v>
      </c>
      <c r="I2810" s="2" t="str">
        <f>IFERROR(__xludf.DUMMYFUNCTION("INDEX(SPLIT(A2810, ""/""), 0, 2)"),"regex")</f>
        <v>regex</v>
      </c>
      <c r="J2810" s="2" t="b">
        <f t="shared" si="1"/>
        <v>0</v>
      </c>
    </row>
    <row r="2811">
      <c r="A2811" s="1" t="s">
        <v>2165</v>
      </c>
      <c r="B2811" s="3">
        <v>73.0</v>
      </c>
      <c r="C2811" s="3">
        <v>60.0</v>
      </c>
      <c r="D2811" s="3">
        <v>0.0</v>
      </c>
      <c r="E2811" s="3">
        <v>0.0</v>
      </c>
      <c r="F2811" s="3">
        <v>0.0</v>
      </c>
      <c r="G2811" s="3">
        <v>0.0</v>
      </c>
      <c r="H2811" s="3">
        <v>0.0</v>
      </c>
      <c r="I2811" s="2" t="str">
        <f>IFERROR(__xludf.DUMMYFUNCTION("INDEX(SPLIT(A2811, ""/""), 0, 2)"),"regex")</f>
        <v>regex</v>
      </c>
      <c r="J2811" s="2" t="b">
        <f t="shared" si="1"/>
        <v>0</v>
      </c>
    </row>
    <row r="2812">
      <c r="A2812" s="1" t="s">
        <v>2166</v>
      </c>
      <c r="B2812" s="3">
        <v>100.0</v>
      </c>
      <c r="C2812" s="3">
        <v>60.0</v>
      </c>
      <c r="D2812" s="3">
        <v>0.0</v>
      </c>
      <c r="E2812" s="3">
        <v>0.0</v>
      </c>
      <c r="F2812" s="3">
        <v>0.0</v>
      </c>
      <c r="G2812" s="3">
        <v>0.0</v>
      </c>
      <c r="H2812" s="3">
        <v>0.0</v>
      </c>
      <c r="I2812" s="2" t="str">
        <f>IFERROR(__xludf.DUMMYFUNCTION("INDEX(SPLIT(A2812, ""/""), 0, 2)"),"regex")</f>
        <v>regex</v>
      </c>
      <c r="J2812" s="2" t="b">
        <f t="shared" si="1"/>
        <v>0</v>
      </c>
    </row>
    <row r="2813">
      <c r="A2813" s="1" t="s">
        <v>2167</v>
      </c>
      <c r="B2813" s="3">
        <v>2384.0</v>
      </c>
      <c r="C2813" s="3">
        <v>60.0</v>
      </c>
      <c r="D2813" s="3">
        <v>15.0</v>
      </c>
      <c r="E2813" s="3">
        <v>0.0</v>
      </c>
      <c r="F2813" s="3">
        <v>1.0</v>
      </c>
      <c r="G2813" s="3">
        <v>2.0</v>
      </c>
      <c r="H2813" s="3">
        <v>0.0</v>
      </c>
      <c r="I2813" s="2" t="str">
        <f>IFERROR(__xludf.DUMMYFUNCTION("INDEX(SPLIT(A2813, ""/""), 0, 2)"),"regex")</f>
        <v>regex</v>
      </c>
      <c r="J2813" s="2" t="b">
        <f t="shared" si="1"/>
        <v>1</v>
      </c>
    </row>
    <row r="2814">
      <c r="A2814" s="1" t="s">
        <v>2168</v>
      </c>
      <c r="B2814" s="3">
        <v>620.0</v>
      </c>
      <c r="C2814" s="3">
        <v>60.0</v>
      </c>
      <c r="D2814" s="3">
        <v>0.0</v>
      </c>
      <c r="E2814" s="3">
        <v>0.0</v>
      </c>
      <c r="F2814" s="3">
        <v>0.0</v>
      </c>
      <c r="G2814" s="3">
        <v>0.0</v>
      </c>
      <c r="H2814" s="3">
        <v>0.0</v>
      </c>
      <c r="I2814" s="2" t="str">
        <f>IFERROR(__xludf.DUMMYFUNCTION("INDEX(SPLIT(A2814, ""/""), 0, 2)"),"regex")</f>
        <v>regex</v>
      </c>
      <c r="J2814" s="2" t="b">
        <f t="shared" si="1"/>
        <v>0</v>
      </c>
    </row>
    <row r="2815">
      <c r="A2815" s="1" t="s">
        <v>2169</v>
      </c>
      <c r="B2815" s="3">
        <v>1084.0</v>
      </c>
      <c r="C2815" s="3">
        <v>60.0</v>
      </c>
      <c r="D2815" s="3">
        <v>2.0</v>
      </c>
      <c r="E2815" s="3">
        <v>0.0</v>
      </c>
      <c r="F2815" s="3">
        <v>0.0</v>
      </c>
      <c r="G2815" s="3">
        <v>0.0</v>
      </c>
      <c r="H2815" s="3">
        <v>0.0</v>
      </c>
      <c r="I2815" s="2" t="str">
        <f>IFERROR(__xludf.DUMMYFUNCTION("INDEX(SPLIT(A2815, ""/""), 0, 2)"),"regex")</f>
        <v>regex</v>
      </c>
      <c r="J2815" s="2" t="b">
        <f t="shared" si="1"/>
        <v>0</v>
      </c>
    </row>
    <row r="2816">
      <c r="A2816" s="1" t="s">
        <v>2170</v>
      </c>
      <c r="B2816" s="3">
        <v>873.0</v>
      </c>
      <c r="C2816" s="3">
        <v>60.0</v>
      </c>
      <c r="D2816" s="3">
        <v>0.0</v>
      </c>
      <c r="E2816" s="3">
        <v>0.0</v>
      </c>
      <c r="F2816" s="3">
        <v>0.0</v>
      </c>
      <c r="G2816" s="3">
        <v>0.0</v>
      </c>
      <c r="H2816" s="3">
        <v>0.0</v>
      </c>
      <c r="I2816" s="2" t="str">
        <f>IFERROR(__xludf.DUMMYFUNCTION("INDEX(SPLIT(A2816, ""/""), 0, 2)"),"regex")</f>
        <v>regex</v>
      </c>
      <c r="J2816" s="2" t="b">
        <f t="shared" si="1"/>
        <v>0</v>
      </c>
    </row>
    <row r="2817">
      <c r="A2817" s="1" t="s">
        <v>2171</v>
      </c>
      <c r="B2817" s="3">
        <v>107.0</v>
      </c>
      <c r="C2817" s="3">
        <v>60.0</v>
      </c>
      <c r="D2817" s="3">
        <v>0.0</v>
      </c>
      <c r="E2817" s="3">
        <v>0.0</v>
      </c>
      <c r="F2817" s="3">
        <v>0.0</v>
      </c>
      <c r="G2817" s="3">
        <v>0.0</v>
      </c>
      <c r="H2817" s="3">
        <v>0.0</v>
      </c>
      <c r="I2817" s="2" t="str">
        <f>IFERROR(__xludf.DUMMYFUNCTION("INDEX(SPLIT(A2817, ""/""), 0, 2)"),"regex")</f>
        <v>regex</v>
      </c>
      <c r="J2817" s="2" t="b">
        <f t="shared" si="1"/>
        <v>0</v>
      </c>
    </row>
    <row r="2818">
      <c r="A2818" s="1" t="s">
        <v>2172</v>
      </c>
      <c r="B2818" s="3">
        <v>91.0</v>
      </c>
      <c r="C2818" s="3">
        <v>60.0</v>
      </c>
      <c r="D2818" s="3">
        <v>0.0</v>
      </c>
      <c r="E2818" s="3">
        <v>0.0</v>
      </c>
      <c r="F2818" s="3">
        <v>0.0</v>
      </c>
      <c r="G2818" s="3">
        <v>0.0</v>
      </c>
      <c r="H2818" s="3">
        <v>0.0</v>
      </c>
      <c r="I2818" s="2" t="str">
        <f>IFERROR(__xludf.DUMMYFUNCTION("INDEX(SPLIT(A2818, ""/""), 0, 2)"),"regex")</f>
        <v>regex</v>
      </c>
      <c r="J2818" s="2" t="b">
        <f t="shared" si="1"/>
        <v>0</v>
      </c>
    </row>
    <row r="2819">
      <c r="A2819" s="1" t="s">
        <v>2173</v>
      </c>
      <c r="B2819" s="3">
        <v>288.0</v>
      </c>
      <c r="C2819" s="3">
        <v>60.0</v>
      </c>
      <c r="D2819" s="3">
        <v>1.0</v>
      </c>
      <c r="E2819" s="3">
        <v>0.0</v>
      </c>
      <c r="F2819" s="3">
        <v>0.0</v>
      </c>
      <c r="G2819" s="3">
        <v>0.0</v>
      </c>
      <c r="H2819" s="3">
        <v>0.0</v>
      </c>
      <c r="I2819" s="2" t="str">
        <f>IFERROR(__xludf.DUMMYFUNCTION("INDEX(SPLIT(A2819, ""/""), 0, 2)"),"regex")</f>
        <v>regex</v>
      </c>
      <c r="J2819" s="2" t="b">
        <f t="shared" si="1"/>
        <v>0</v>
      </c>
    </row>
    <row r="2820">
      <c r="A2820" s="1" t="s">
        <v>2174</v>
      </c>
      <c r="B2820" s="3">
        <v>85.0</v>
      </c>
      <c r="C2820" s="3">
        <v>60.0</v>
      </c>
      <c r="D2820" s="3">
        <v>0.0</v>
      </c>
      <c r="E2820" s="3">
        <v>0.0</v>
      </c>
      <c r="F2820" s="3">
        <v>0.0</v>
      </c>
      <c r="G2820" s="3">
        <v>0.0</v>
      </c>
      <c r="H2820" s="3">
        <v>0.0</v>
      </c>
      <c r="I2820" s="2" t="str">
        <f>IFERROR(__xludf.DUMMYFUNCTION("INDEX(SPLIT(A2820, ""/""), 0, 2)"),"regex")</f>
        <v>regex</v>
      </c>
      <c r="J2820" s="2" t="b">
        <f t="shared" si="1"/>
        <v>0</v>
      </c>
    </row>
    <row r="2821">
      <c r="A2821" s="1" t="s">
        <v>2175</v>
      </c>
      <c r="B2821" s="3">
        <v>2465.0</v>
      </c>
      <c r="C2821" s="3">
        <v>60.0</v>
      </c>
      <c r="D2821" s="3">
        <v>2.0</v>
      </c>
      <c r="E2821" s="3">
        <v>2.0</v>
      </c>
      <c r="F2821" s="3">
        <v>2.0</v>
      </c>
      <c r="G2821" s="3">
        <v>2.0</v>
      </c>
      <c r="H2821" s="3">
        <v>2.0</v>
      </c>
      <c r="I2821" s="2" t="str">
        <f>IFERROR(__xludf.DUMMYFUNCTION("INDEX(SPLIT(A2821, ""/""), 0, 2)"),"regex")</f>
        <v>regex</v>
      </c>
      <c r="J2821" s="2" t="b">
        <f t="shared" si="1"/>
        <v>0</v>
      </c>
    </row>
    <row r="2822">
      <c r="A2822" s="1" t="s">
        <v>2176</v>
      </c>
      <c r="B2822" s="3">
        <v>64.0</v>
      </c>
      <c r="C2822" s="3">
        <v>60.0</v>
      </c>
      <c r="D2822" s="3">
        <v>0.0</v>
      </c>
      <c r="E2822" s="3">
        <v>0.0</v>
      </c>
      <c r="F2822" s="3">
        <v>0.0</v>
      </c>
      <c r="G2822" s="3">
        <v>0.0</v>
      </c>
      <c r="H2822" s="3">
        <v>0.0</v>
      </c>
      <c r="I2822" s="2" t="str">
        <f>IFERROR(__xludf.DUMMYFUNCTION("INDEX(SPLIT(A2822, ""/""), 0, 2)"),"regex")</f>
        <v>regex</v>
      </c>
      <c r="J2822" s="2" t="b">
        <f t="shared" si="1"/>
        <v>0</v>
      </c>
    </row>
    <row r="2823">
      <c r="A2823" s="1" t="s">
        <v>2177</v>
      </c>
      <c r="B2823" s="3">
        <v>135.0</v>
      </c>
      <c r="C2823" s="3">
        <v>60.0</v>
      </c>
      <c r="D2823" s="3">
        <v>0.0</v>
      </c>
      <c r="E2823" s="3">
        <v>0.0</v>
      </c>
      <c r="F2823" s="3">
        <v>0.0</v>
      </c>
      <c r="G2823" s="3">
        <v>0.0</v>
      </c>
      <c r="H2823" s="3">
        <v>0.0</v>
      </c>
      <c r="I2823" s="2" t="str">
        <f>IFERROR(__xludf.DUMMYFUNCTION("INDEX(SPLIT(A2823, ""/""), 0, 2)"),"regex")</f>
        <v>regex</v>
      </c>
      <c r="J2823" s="2" t="b">
        <f t="shared" si="1"/>
        <v>0</v>
      </c>
    </row>
    <row r="2824">
      <c r="A2824" s="1" t="s">
        <v>2178</v>
      </c>
      <c r="B2824" s="3">
        <v>107.0</v>
      </c>
      <c r="C2824" s="3">
        <v>60.0</v>
      </c>
      <c r="D2824" s="3">
        <v>0.0</v>
      </c>
      <c r="E2824" s="3">
        <v>0.0</v>
      </c>
      <c r="F2824" s="3">
        <v>0.0</v>
      </c>
      <c r="G2824" s="3">
        <v>0.0</v>
      </c>
      <c r="H2824" s="3">
        <v>0.0</v>
      </c>
      <c r="I2824" s="2" t="str">
        <f>IFERROR(__xludf.DUMMYFUNCTION("INDEX(SPLIT(A2824, ""/""), 0, 2)"),"regex")</f>
        <v>regex</v>
      </c>
      <c r="J2824" s="2" t="b">
        <f t="shared" si="1"/>
        <v>0</v>
      </c>
    </row>
    <row r="2825">
      <c r="A2825" s="1" t="s">
        <v>2179</v>
      </c>
      <c r="B2825" s="3">
        <v>780.0</v>
      </c>
      <c r="C2825" s="3">
        <v>60.0</v>
      </c>
      <c r="D2825" s="3">
        <v>4.0</v>
      </c>
      <c r="E2825" s="3">
        <v>0.0</v>
      </c>
      <c r="F2825" s="3">
        <v>0.0</v>
      </c>
      <c r="G2825" s="3">
        <v>1.0</v>
      </c>
      <c r="H2825" s="3">
        <v>0.0</v>
      </c>
      <c r="I2825" s="2" t="str">
        <f>IFERROR(__xludf.DUMMYFUNCTION("INDEX(SPLIT(A2825, ""/""), 0, 2)"),"regex")</f>
        <v>regex</v>
      </c>
      <c r="J2825" s="2" t="b">
        <f t="shared" si="1"/>
        <v>0</v>
      </c>
    </row>
    <row r="2826">
      <c r="A2826" s="1" t="s">
        <v>2180</v>
      </c>
      <c r="B2826" s="3">
        <v>384.0</v>
      </c>
      <c r="C2826" s="3">
        <v>60.0</v>
      </c>
      <c r="D2826" s="3">
        <v>1.0</v>
      </c>
      <c r="E2826" s="3">
        <v>0.0</v>
      </c>
      <c r="F2826" s="3">
        <v>0.0</v>
      </c>
      <c r="G2826" s="3">
        <v>0.0</v>
      </c>
      <c r="H2826" s="3">
        <v>0.0</v>
      </c>
      <c r="I2826" s="2" t="str">
        <f>IFERROR(__xludf.DUMMYFUNCTION("INDEX(SPLIT(A2826, ""/""), 0, 2)"),"regex")</f>
        <v>regex</v>
      </c>
      <c r="J2826" s="2" t="b">
        <f t="shared" si="1"/>
        <v>0</v>
      </c>
    </row>
    <row r="2827">
      <c r="A2827" s="1" t="s">
        <v>2181</v>
      </c>
      <c r="B2827" s="3">
        <v>40.0</v>
      </c>
      <c r="C2827" s="3">
        <v>60.0</v>
      </c>
      <c r="D2827" s="3">
        <v>0.0</v>
      </c>
      <c r="E2827" s="3">
        <v>0.0</v>
      </c>
      <c r="F2827" s="3">
        <v>0.0</v>
      </c>
      <c r="G2827" s="3">
        <v>0.0</v>
      </c>
      <c r="H2827" s="3">
        <v>0.0</v>
      </c>
      <c r="I2827" s="2" t="str">
        <f>IFERROR(__xludf.DUMMYFUNCTION("INDEX(SPLIT(A2827, ""/""), 0, 2)"),"regex")</f>
        <v>regex</v>
      </c>
      <c r="J2827" s="2" t="b">
        <f t="shared" si="1"/>
        <v>0</v>
      </c>
    </row>
    <row r="2828">
      <c r="A2828" s="1" t="s">
        <v>2182</v>
      </c>
      <c r="B2828" s="3">
        <v>15991.0</v>
      </c>
      <c r="C2828" s="3">
        <v>60.0</v>
      </c>
      <c r="D2828" s="3">
        <v>356.0</v>
      </c>
      <c r="E2828" s="3">
        <v>5.0</v>
      </c>
      <c r="F2828" s="3">
        <v>5.0</v>
      </c>
      <c r="G2828" s="3">
        <v>6.0</v>
      </c>
      <c r="H2828" s="3">
        <v>5.0</v>
      </c>
      <c r="I2828" s="2" t="str">
        <f>IFERROR(__xludf.DUMMYFUNCTION("INDEX(SPLIT(A2828, ""/""), 0, 2)"),"regex")</f>
        <v>regex</v>
      </c>
      <c r="J2828" s="2" t="b">
        <f t="shared" si="1"/>
        <v>1</v>
      </c>
    </row>
    <row r="2829">
      <c r="A2829" s="1" t="s">
        <v>2183</v>
      </c>
      <c r="B2829" s="3">
        <v>114.0</v>
      </c>
      <c r="C2829" s="3">
        <v>60.0</v>
      </c>
      <c r="D2829" s="3">
        <v>0.0</v>
      </c>
      <c r="E2829" s="3">
        <v>0.0</v>
      </c>
      <c r="F2829" s="3">
        <v>0.0</v>
      </c>
      <c r="G2829" s="3">
        <v>0.0</v>
      </c>
      <c r="H2829" s="3">
        <v>0.0</v>
      </c>
      <c r="I2829" s="2" t="str">
        <f>IFERROR(__xludf.DUMMYFUNCTION("INDEX(SPLIT(A2829, ""/""), 0, 2)"),"regex")</f>
        <v>regex</v>
      </c>
      <c r="J2829" s="2" t="b">
        <f t="shared" si="1"/>
        <v>0</v>
      </c>
    </row>
    <row r="2830">
      <c r="A2830" s="1" t="s">
        <v>2184</v>
      </c>
      <c r="B2830" s="3">
        <v>111.0</v>
      </c>
      <c r="C2830" s="3">
        <v>60.0</v>
      </c>
      <c r="D2830" s="3">
        <v>0.0</v>
      </c>
      <c r="E2830" s="3">
        <v>0.0</v>
      </c>
      <c r="F2830" s="3">
        <v>0.0</v>
      </c>
      <c r="G2830" s="3">
        <v>0.0</v>
      </c>
      <c r="H2830" s="3">
        <v>0.0</v>
      </c>
      <c r="I2830" s="2" t="str">
        <f>IFERROR(__xludf.DUMMYFUNCTION("INDEX(SPLIT(A2830, ""/""), 0, 2)"),"regex")</f>
        <v>regex</v>
      </c>
      <c r="J2830" s="2" t="b">
        <f t="shared" si="1"/>
        <v>0</v>
      </c>
    </row>
    <row r="2831">
      <c r="A2831" s="1" t="s">
        <v>2185</v>
      </c>
      <c r="B2831" s="3">
        <v>1453.0</v>
      </c>
      <c r="C2831" s="3">
        <v>60.0</v>
      </c>
      <c r="D2831" s="3">
        <v>11.0</v>
      </c>
      <c r="E2831" s="3">
        <v>0.0</v>
      </c>
      <c r="F2831" s="3">
        <v>0.0</v>
      </c>
      <c r="G2831" s="3">
        <v>1.0</v>
      </c>
      <c r="H2831" s="3">
        <v>0.0</v>
      </c>
      <c r="I2831" s="2" t="str">
        <f>IFERROR(__xludf.DUMMYFUNCTION("INDEX(SPLIT(A2831, ""/""), 0, 2)"),"regex")</f>
        <v>regex</v>
      </c>
      <c r="J2831" s="2" t="b">
        <f t="shared" si="1"/>
        <v>1</v>
      </c>
    </row>
    <row r="2832">
      <c r="A2832" s="1" t="s">
        <v>2186</v>
      </c>
      <c r="B2832" s="3">
        <v>1361.0</v>
      </c>
      <c r="C2832" s="3">
        <v>60.0</v>
      </c>
      <c r="D2832" s="3">
        <v>22.0</v>
      </c>
      <c r="E2832" s="3">
        <v>1.0</v>
      </c>
      <c r="F2832" s="3">
        <v>2.0</v>
      </c>
      <c r="G2832" s="3">
        <v>4.0</v>
      </c>
      <c r="H2832" s="3">
        <v>0.0</v>
      </c>
      <c r="I2832" s="2" t="str">
        <f>IFERROR(__xludf.DUMMYFUNCTION("INDEX(SPLIT(A2832, ""/""), 0, 2)"),"regex")</f>
        <v>regex</v>
      </c>
      <c r="J2832" s="2" t="b">
        <f t="shared" si="1"/>
        <v>1</v>
      </c>
    </row>
    <row r="2833">
      <c r="A2833" s="1" t="s">
        <v>2187</v>
      </c>
      <c r="B2833" s="3">
        <v>17092.0</v>
      </c>
      <c r="C2833" s="3">
        <v>60.0</v>
      </c>
      <c r="D2833" s="3">
        <v>300.0</v>
      </c>
      <c r="E2833" s="3">
        <v>4.0</v>
      </c>
      <c r="F2833" s="3">
        <v>4.0</v>
      </c>
      <c r="G2833" s="3">
        <v>5.0</v>
      </c>
      <c r="H2833" s="3">
        <v>4.0</v>
      </c>
      <c r="I2833" s="2" t="str">
        <f>IFERROR(__xludf.DUMMYFUNCTION("INDEX(SPLIT(A2833, ""/""), 0, 2)"),"regex")</f>
        <v>regex</v>
      </c>
      <c r="J2833" s="2" t="b">
        <f t="shared" si="1"/>
        <v>1</v>
      </c>
    </row>
    <row r="2834">
      <c r="A2834" s="1" t="s">
        <v>2188</v>
      </c>
      <c r="B2834" s="3">
        <v>79.0</v>
      </c>
      <c r="C2834" s="3">
        <v>60.0</v>
      </c>
      <c r="D2834" s="3">
        <v>0.0</v>
      </c>
      <c r="E2834" s="3">
        <v>0.0</v>
      </c>
      <c r="F2834" s="3">
        <v>0.0</v>
      </c>
      <c r="G2834" s="3">
        <v>0.0</v>
      </c>
      <c r="H2834" s="3">
        <v>0.0</v>
      </c>
      <c r="I2834" s="2" t="str">
        <f>IFERROR(__xludf.DUMMYFUNCTION("INDEX(SPLIT(A2834, ""/""), 0, 2)"),"regex")</f>
        <v>regex</v>
      </c>
      <c r="J2834" s="2" t="b">
        <f t="shared" si="1"/>
        <v>0</v>
      </c>
    </row>
    <row r="2835">
      <c r="A2835" s="1" t="s">
        <v>2189</v>
      </c>
      <c r="B2835" s="3">
        <v>1231.0</v>
      </c>
      <c r="C2835" s="3">
        <v>60.0</v>
      </c>
      <c r="D2835" s="3">
        <v>2.0</v>
      </c>
      <c r="E2835" s="3">
        <v>0.0</v>
      </c>
      <c r="F2835" s="3">
        <v>0.0</v>
      </c>
      <c r="G2835" s="3">
        <v>0.0</v>
      </c>
      <c r="H2835" s="3">
        <v>0.0</v>
      </c>
      <c r="I2835" s="2" t="str">
        <f>IFERROR(__xludf.DUMMYFUNCTION("INDEX(SPLIT(A2835, ""/""), 0, 2)"),"regex")</f>
        <v>regex</v>
      </c>
      <c r="J2835" s="2" t="b">
        <f t="shared" si="1"/>
        <v>0</v>
      </c>
    </row>
    <row r="2836">
      <c r="A2836" s="1" t="s">
        <v>2190</v>
      </c>
      <c r="B2836" s="3">
        <v>1166.0</v>
      </c>
      <c r="C2836" s="3">
        <v>60.0</v>
      </c>
      <c r="D2836" s="3">
        <v>16.0</v>
      </c>
      <c r="E2836" s="3">
        <v>0.0</v>
      </c>
      <c r="F2836" s="3">
        <v>1.0</v>
      </c>
      <c r="G2836" s="3">
        <v>3.0</v>
      </c>
      <c r="H2836" s="3">
        <v>0.0</v>
      </c>
      <c r="I2836" s="2" t="str">
        <f>IFERROR(__xludf.DUMMYFUNCTION("INDEX(SPLIT(A2836, ""/""), 0, 2)"),"regex")</f>
        <v>regex</v>
      </c>
      <c r="J2836" s="2" t="b">
        <f t="shared" si="1"/>
        <v>1</v>
      </c>
    </row>
    <row r="2837">
      <c r="A2837" s="1" t="s">
        <v>2191</v>
      </c>
      <c r="B2837" s="3">
        <v>86.0</v>
      </c>
      <c r="C2837" s="3">
        <v>60.0</v>
      </c>
      <c r="D2837" s="3">
        <v>0.0</v>
      </c>
      <c r="E2837" s="3">
        <v>0.0</v>
      </c>
      <c r="F2837" s="3">
        <v>0.0</v>
      </c>
      <c r="G2837" s="3">
        <v>0.0</v>
      </c>
      <c r="H2837" s="3">
        <v>0.0</v>
      </c>
      <c r="I2837" s="2" t="str">
        <f>IFERROR(__xludf.DUMMYFUNCTION("INDEX(SPLIT(A2837, ""/""), 0, 2)"),"regex")</f>
        <v>regex</v>
      </c>
      <c r="J2837" s="2" t="b">
        <f t="shared" si="1"/>
        <v>0</v>
      </c>
    </row>
    <row r="2838">
      <c r="A2838" s="1" t="s">
        <v>2192</v>
      </c>
      <c r="B2838" s="3">
        <v>104.0</v>
      </c>
      <c r="C2838" s="3">
        <v>60.0</v>
      </c>
      <c r="D2838" s="3">
        <v>0.0</v>
      </c>
      <c r="E2838" s="3">
        <v>0.0</v>
      </c>
      <c r="F2838" s="3">
        <v>0.0</v>
      </c>
      <c r="G2838" s="3">
        <v>0.0</v>
      </c>
      <c r="H2838" s="3">
        <v>0.0</v>
      </c>
      <c r="I2838" s="2" t="str">
        <f>IFERROR(__xludf.DUMMYFUNCTION("INDEX(SPLIT(A2838, ""/""), 0, 2)"),"regex")</f>
        <v>regex</v>
      </c>
      <c r="J2838" s="2" t="b">
        <f t="shared" si="1"/>
        <v>0</v>
      </c>
    </row>
    <row r="2839">
      <c r="A2839" s="1" t="s">
        <v>2193</v>
      </c>
      <c r="B2839" s="3">
        <v>1197.0</v>
      </c>
      <c r="C2839" s="3">
        <v>60.0</v>
      </c>
      <c r="D2839" s="3">
        <v>1.0</v>
      </c>
      <c r="E2839" s="3">
        <v>1.0</v>
      </c>
      <c r="F2839" s="3">
        <v>1.0</v>
      </c>
      <c r="G2839" s="3">
        <v>1.0</v>
      </c>
      <c r="H2839" s="3">
        <v>1.0</v>
      </c>
      <c r="I2839" s="2" t="str">
        <f>IFERROR(__xludf.DUMMYFUNCTION("INDEX(SPLIT(A2839, ""/""), 0, 2)"),"regex")</f>
        <v>regex</v>
      </c>
      <c r="J2839" s="2" t="b">
        <f t="shared" si="1"/>
        <v>0</v>
      </c>
    </row>
    <row r="2840">
      <c r="A2840" s="1" t="s">
        <v>2194</v>
      </c>
      <c r="B2840" s="3">
        <v>34.0</v>
      </c>
      <c r="C2840" s="3">
        <v>60.0</v>
      </c>
      <c r="D2840" s="3">
        <v>0.0</v>
      </c>
      <c r="E2840" s="3">
        <v>0.0</v>
      </c>
      <c r="F2840" s="3">
        <v>0.0</v>
      </c>
      <c r="G2840" s="3">
        <v>0.0</v>
      </c>
      <c r="H2840" s="3">
        <v>0.0</v>
      </c>
      <c r="I2840" s="2" t="str">
        <f>IFERROR(__xludf.DUMMYFUNCTION("INDEX(SPLIT(A2840, ""/""), 0, 2)"),"regex")</f>
        <v>regex</v>
      </c>
      <c r="J2840" s="2" t="b">
        <f t="shared" si="1"/>
        <v>0</v>
      </c>
    </row>
    <row r="2841">
      <c r="A2841" s="1" t="s">
        <v>2195</v>
      </c>
      <c r="B2841" s="3">
        <v>79.0</v>
      </c>
      <c r="C2841" s="3">
        <v>60.0</v>
      </c>
      <c r="D2841" s="3">
        <v>0.0</v>
      </c>
      <c r="E2841" s="3">
        <v>0.0</v>
      </c>
      <c r="F2841" s="3">
        <v>0.0</v>
      </c>
      <c r="G2841" s="3">
        <v>0.0</v>
      </c>
      <c r="H2841" s="3">
        <v>0.0</v>
      </c>
      <c r="I2841" s="2" t="str">
        <f>IFERROR(__xludf.DUMMYFUNCTION("INDEX(SPLIT(A2841, ""/""), 0, 2)"),"regex")</f>
        <v>regex</v>
      </c>
      <c r="J2841" s="2" t="b">
        <f t="shared" si="1"/>
        <v>0</v>
      </c>
    </row>
    <row r="2842">
      <c r="A2842" s="1" t="s">
        <v>2196</v>
      </c>
      <c r="B2842" s="3">
        <v>101.0</v>
      </c>
      <c r="C2842" s="3">
        <v>60.0</v>
      </c>
      <c r="D2842" s="3">
        <v>0.0</v>
      </c>
      <c r="E2842" s="3">
        <v>0.0</v>
      </c>
      <c r="F2842" s="3">
        <v>0.0</v>
      </c>
      <c r="G2842" s="3">
        <v>0.0</v>
      </c>
      <c r="H2842" s="3">
        <v>0.0</v>
      </c>
      <c r="I2842" s="2" t="str">
        <f>IFERROR(__xludf.DUMMYFUNCTION("INDEX(SPLIT(A2842, ""/""), 0, 2)"),"regex")</f>
        <v>regex</v>
      </c>
      <c r="J2842" s="2" t="b">
        <f t="shared" si="1"/>
        <v>0</v>
      </c>
    </row>
    <row r="2843">
      <c r="A2843" s="1" t="s">
        <v>2197</v>
      </c>
      <c r="B2843" s="3">
        <v>91.0</v>
      </c>
      <c r="C2843" s="3">
        <v>60.0</v>
      </c>
      <c r="D2843" s="3">
        <v>0.0</v>
      </c>
      <c r="E2843" s="3">
        <v>0.0</v>
      </c>
      <c r="F2843" s="3">
        <v>0.0</v>
      </c>
      <c r="G2843" s="3">
        <v>0.0</v>
      </c>
      <c r="H2843" s="3">
        <v>0.0</v>
      </c>
      <c r="I2843" s="2" t="str">
        <f>IFERROR(__xludf.DUMMYFUNCTION("INDEX(SPLIT(A2843, ""/""), 0, 2)"),"regex")</f>
        <v>regex</v>
      </c>
      <c r="J2843" s="2" t="b">
        <f t="shared" si="1"/>
        <v>0</v>
      </c>
    </row>
    <row r="2844">
      <c r="A2844" s="1" t="s">
        <v>2198</v>
      </c>
      <c r="B2844" s="3">
        <v>439.0</v>
      </c>
      <c r="C2844" s="3">
        <v>60.0</v>
      </c>
      <c r="D2844" s="3">
        <v>1.0</v>
      </c>
      <c r="E2844" s="3">
        <v>0.0</v>
      </c>
      <c r="F2844" s="3">
        <v>0.0</v>
      </c>
      <c r="G2844" s="3">
        <v>0.0</v>
      </c>
      <c r="H2844" s="3">
        <v>0.0</v>
      </c>
      <c r="I2844" s="2" t="str">
        <f>IFERROR(__xludf.DUMMYFUNCTION("INDEX(SPLIT(A2844, ""/""), 0, 2)"),"regex")</f>
        <v>regex</v>
      </c>
      <c r="J2844" s="2" t="b">
        <f t="shared" si="1"/>
        <v>0</v>
      </c>
    </row>
    <row r="2845">
      <c r="A2845" s="1" t="s">
        <v>2199</v>
      </c>
      <c r="B2845" s="3">
        <v>4468.0</v>
      </c>
      <c r="C2845" s="3">
        <v>60.0</v>
      </c>
      <c r="D2845" s="3">
        <v>2.0</v>
      </c>
      <c r="E2845" s="3">
        <v>2.0</v>
      </c>
      <c r="F2845" s="3">
        <v>2.0</v>
      </c>
      <c r="G2845" s="3">
        <v>2.0</v>
      </c>
      <c r="H2845" s="3">
        <v>2.0</v>
      </c>
      <c r="I2845" s="2" t="str">
        <f>IFERROR(__xludf.DUMMYFUNCTION("INDEX(SPLIT(A2845, ""/""), 0, 2)"),"regex")</f>
        <v>regex</v>
      </c>
      <c r="J2845" s="2" t="b">
        <f t="shared" si="1"/>
        <v>0</v>
      </c>
    </row>
    <row r="2846">
      <c r="A2846" s="1" t="s">
        <v>2200</v>
      </c>
      <c r="B2846" s="3">
        <v>574.0</v>
      </c>
      <c r="C2846" s="3">
        <v>60.0</v>
      </c>
      <c r="D2846" s="3">
        <v>0.0</v>
      </c>
      <c r="E2846" s="3">
        <v>0.0</v>
      </c>
      <c r="F2846" s="3">
        <v>0.0</v>
      </c>
      <c r="G2846" s="3">
        <v>0.0</v>
      </c>
      <c r="H2846" s="3">
        <v>0.0</v>
      </c>
      <c r="I2846" s="2" t="str">
        <f>IFERROR(__xludf.DUMMYFUNCTION("INDEX(SPLIT(A2846, ""/""), 0, 2)"),"regex")</f>
        <v>regex</v>
      </c>
      <c r="J2846" s="2" t="b">
        <f t="shared" si="1"/>
        <v>0</v>
      </c>
    </row>
    <row r="2847">
      <c r="A2847" s="1" t="s">
        <v>2201</v>
      </c>
      <c r="B2847" s="3">
        <v>33.0</v>
      </c>
      <c r="C2847" s="3">
        <v>60.0</v>
      </c>
      <c r="D2847" s="3">
        <v>0.0</v>
      </c>
      <c r="E2847" s="3">
        <v>0.0</v>
      </c>
      <c r="F2847" s="3">
        <v>0.0</v>
      </c>
      <c r="G2847" s="3">
        <v>0.0</v>
      </c>
      <c r="H2847" s="3">
        <v>0.0</v>
      </c>
      <c r="I2847" s="2" t="str">
        <f>IFERROR(__xludf.DUMMYFUNCTION("INDEX(SPLIT(A2847, ""/""), 0, 2)"),"regex")</f>
        <v>regex</v>
      </c>
      <c r="J2847" s="2" t="b">
        <f t="shared" si="1"/>
        <v>0</v>
      </c>
    </row>
    <row r="2848">
      <c r="A2848" s="1" t="s">
        <v>2202</v>
      </c>
      <c r="B2848" s="3">
        <v>1637.0</v>
      </c>
      <c r="C2848" s="3">
        <v>60.0</v>
      </c>
      <c r="D2848" s="3">
        <v>3.0</v>
      </c>
      <c r="E2848" s="3">
        <v>1.0</v>
      </c>
      <c r="F2848" s="3">
        <v>1.0</v>
      </c>
      <c r="G2848" s="3">
        <v>1.0</v>
      </c>
      <c r="H2848" s="3">
        <v>1.0</v>
      </c>
      <c r="I2848" s="2" t="str">
        <f>IFERROR(__xludf.DUMMYFUNCTION("INDEX(SPLIT(A2848, ""/""), 0, 2)"),"regex")</f>
        <v>regex</v>
      </c>
      <c r="J2848" s="2" t="b">
        <f t="shared" si="1"/>
        <v>0</v>
      </c>
    </row>
    <row r="2849">
      <c r="A2849" s="1" t="s">
        <v>2203</v>
      </c>
      <c r="B2849" s="3">
        <v>91.0</v>
      </c>
      <c r="C2849" s="3">
        <v>60.0</v>
      </c>
      <c r="D2849" s="3">
        <v>0.0</v>
      </c>
      <c r="E2849" s="3">
        <v>0.0</v>
      </c>
      <c r="F2849" s="3">
        <v>0.0</v>
      </c>
      <c r="G2849" s="3">
        <v>0.0</v>
      </c>
      <c r="H2849" s="3">
        <v>0.0</v>
      </c>
      <c r="I2849" s="2" t="str">
        <f>IFERROR(__xludf.DUMMYFUNCTION("INDEX(SPLIT(A2849, ""/""), 0, 2)"),"regex")</f>
        <v>regex</v>
      </c>
      <c r="J2849" s="2" t="b">
        <f t="shared" si="1"/>
        <v>0</v>
      </c>
    </row>
    <row r="2850">
      <c r="A2850" s="1" t="s">
        <v>2204</v>
      </c>
      <c r="B2850" s="3">
        <v>720.0</v>
      </c>
      <c r="C2850" s="3">
        <v>60.0</v>
      </c>
      <c r="D2850" s="3">
        <v>7.0</v>
      </c>
      <c r="E2850" s="3">
        <v>0.0</v>
      </c>
      <c r="F2850" s="3">
        <v>1.0</v>
      </c>
      <c r="G2850" s="3">
        <v>2.0</v>
      </c>
      <c r="H2850" s="3">
        <v>0.0</v>
      </c>
      <c r="I2850" s="2" t="str">
        <f>IFERROR(__xludf.DUMMYFUNCTION("INDEX(SPLIT(A2850, ""/""), 0, 2)"),"regex")</f>
        <v>regex</v>
      </c>
      <c r="J2850" s="2" t="b">
        <f t="shared" si="1"/>
        <v>0</v>
      </c>
    </row>
    <row r="2851">
      <c r="A2851" s="1" t="s">
        <v>2205</v>
      </c>
      <c r="B2851" s="3">
        <v>83.0</v>
      </c>
      <c r="C2851" s="3">
        <v>60.0</v>
      </c>
      <c r="D2851" s="3">
        <v>0.0</v>
      </c>
      <c r="E2851" s="3">
        <v>0.0</v>
      </c>
      <c r="F2851" s="3">
        <v>0.0</v>
      </c>
      <c r="G2851" s="3">
        <v>0.0</v>
      </c>
      <c r="H2851" s="3">
        <v>0.0</v>
      </c>
      <c r="I2851" s="2" t="str">
        <f>IFERROR(__xludf.DUMMYFUNCTION("INDEX(SPLIT(A2851, ""/""), 0, 2)"),"regex")</f>
        <v>regex</v>
      </c>
      <c r="J2851" s="2" t="b">
        <f t="shared" si="1"/>
        <v>0</v>
      </c>
    </row>
    <row r="2852">
      <c r="A2852" s="1" t="s">
        <v>2206</v>
      </c>
      <c r="B2852" s="3">
        <v>1308.0</v>
      </c>
      <c r="C2852" s="3">
        <v>60.0</v>
      </c>
      <c r="D2852" s="3">
        <v>2.0</v>
      </c>
      <c r="E2852" s="3">
        <v>0.0</v>
      </c>
      <c r="F2852" s="3">
        <v>0.0</v>
      </c>
      <c r="G2852" s="3">
        <v>0.0</v>
      </c>
      <c r="H2852" s="3">
        <v>0.0</v>
      </c>
      <c r="I2852" s="2" t="str">
        <f>IFERROR(__xludf.DUMMYFUNCTION("INDEX(SPLIT(A2852, ""/""), 0, 2)"),"regex")</f>
        <v>regex</v>
      </c>
      <c r="J2852" s="2" t="b">
        <f t="shared" si="1"/>
        <v>0</v>
      </c>
    </row>
    <row r="2853">
      <c r="A2853" s="1" t="s">
        <v>2207</v>
      </c>
      <c r="B2853" s="3">
        <v>2490.0</v>
      </c>
      <c r="C2853" s="3">
        <v>60.0</v>
      </c>
      <c r="D2853" s="3">
        <v>42.0</v>
      </c>
      <c r="E2853" s="3">
        <v>1.0</v>
      </c>
      <c r="F2853" s="3">
        <v>1.0</v>
      </c>
      <c r="G2853" s="3">
        <v>2.0</v>
      </c>
      <c r="H2853" s="3">
        <v>1.0</v>
      </c>
      <c r="I2853" s="2" t="str">
        <f>IFERROR(__xludf.DUMMYFUNCTION("INDEX(SPLIT(A2853, ""/""), 0, 2)"),"regex")</f>
        <v>regex</v>
      </c>
      <c r="J2853" s="2" t="b">
        <f t="shared" si="1"/>
        <v>1</v>
      </c>
    </row>
    <row r="2854">
      <c r="A2854" s="1" t="s">
        <v>2208</v>
      </c>
      <c r="B2854" s="3">
        <v>91.0</v>
      </c>
      <c r="C2854" s="3">
        <v>60.0</v>
      </c>
      <c r="D2854" s="3">
        <v>0.0</v>
      </c>
      <c r="E2854" s="3">
        <v>0.0</v>
      </c>
      <c r="F2854" s="3">
        <v>0.0</v>
      </c>
      <c r="G2854" s="3">
        <v>0.0</v>
      </c>
      <c r="H2854" s="3">
        <v>0.0</v>
      </c>
      <c r="I2854" s="2" t="str">
        <f>IFERROR(__xludf.DUMMYFUNCTION("INDEX(SPLIT(A2854, ""/""), 0, 2)"),"regex")</f>
        <v>regex</v>
      </c>
      <c r="J2854" s="2" t="b">
        <f t="shared" si="1"/>
        <v>0</v>
      </c>
    </row>
    <row r="2855">
      <c r="A2855" s="1" t="s">
        <v>2209</v>
      </c>
      <c r="B2855" s="3">
        <v>85.0</v>
      </c>
      <c r="C2855" s="3">
        <v>60.0</v>
      </c>
      <c r="D2855" s="3">
        <v>0.0</v>
      </c>
      <c r="E2855" s="3">
        <v>0.0</v>
      </c>
      <c r="F2855" s="3">
        <v>0.0</v>
      </c>
      <c r="G2855" s="3">
        <v>0.0</v>
      </c>
      <c r="H2855" s="3">
        <v>0.0</v>
      </c>
      <c r="I2855" s="2" t="str">
        <f>IFERROR(__xludf.DUMMYFUNCTION("INDEX(SPLIT(A2855, ""/""), 0, 2)"),"regex")</f>
        <v>regex</v>
      </c>
      <c r="J2855" s="2" t="b">
        <f t="shared" si="1"/>
        <v>0</v>
      </c>
    </row>
    <row r="2856">
      <c r="A2856" s="1" t="s">
        <v>2210</v>
      </c>
      <c r="B2856" s="3">
        <v>9587.0</v>
      </c>
      <c r="C2856" s="3">
        <v>60.0</v>
      </c>
      <c r="D2856" s="3">
        <v>29.0</v>
      </c>
      <c r="E2856" s="3">
        <v>5.0</v>
      </c>
      <c r="F2856" s="3">
        <v>6.0</v>
      </c>
      <c r="G2856" s="3">
        <v>7.0</v>
      </c>
      <c r="H2856" s="3">
        <v>6.0</v>
      </c>
      <c r="I2856" s="2" t="str">
        <f>IFERROR(__xludf.DUMMYFUNCTION("INDEX(SPLIT(A2856, ""/""), 0, 2)"),"regex")</f>
        <v>regex</v>
      </c>
      <c r="J2856" s="2" t="b">
        <f t="shared" si="1"/>
        <v>1</v>
      </c>
    </row>
    <row r="2857">
      <c r="A2857" s="1" t="s">
        <v>2211</v>
      </c>
      <c r="B2857" s="3">
        <v>98.0</v>
      </c>
      <c r="C2857" s="3">
        <v>60.0</v>
      </c>
      <c r="D2857" s="3">
        <v>0.0</v>
      </c>
      <c r="E2857" s="3">
        <v>0.0</v>
      </c>
      <c r="F2857" s="3">
        <v>0.0</v>
      </c>
      <c r="G2857" s="3">
        <v>0.0</v>
      </c>
      <c r="H2857" s="3">
        <v>0.0</v>
      </c>
      <c r="I2857" s="2" t="str">
        <f>IFERROR(__xludf.DUMMYFUNCTION("INDEX(SPLIT(A2857, ""/""), 0, 2)"),"regex")</f>
        <v>regex</v>
      </c>
      <c r="J2857" s="2" t="b">
        <f t="shared" si="1"/>
        <v>0</v>
      </c>
    </row>
    <row r="2858">
      <c r="A2858" s="1" t="s">
        <v>2212</v>
      </c>
      <c r="B2858" s="3">
        <v>206.0</v>
      </c>
      <c r="C2858" s="3">
        <v>60.0</v>
      </c>
      <c r="D2858" s="3">
        <v>0.0</v>
      </c>
      <c r="E2858" s="3">
        <v>0.0</v>
      </c>
      <c r="F2858" s="3">
        <v>0.0</v>
      </c>
      <c r="G2858" s="3">
        <v>0.0</v>
      </c>
      <c r="H2858" s="3">
        <v>0.0</v>
      </c>
      <c r="I2858" s="2" t="str">
        <f>IFERROR(__xludf.DUMMYFUNCTION("INDEX(SPLIT(A2858, ""/""), 0, 2)"),"regex")</f>
        <v>regex</v>
      </c>
      <c r="J2858" s="2" t="b">
        <f t="shared" si="1"/>
        <v>0</v>
      </c>
    </row>
    <row r="2859">
      <c r="A2859" s="1" t="s">
        <v>2213</v>
      </c>
      <c r="B2859" s="3">
        <v>77.0</v>
      </c>
      <c r="C2859" s="3">
        <v>60.0</v>
      </c>
      <c r="D2859" s="3">
        <v>0.0</v>
      </c>
      <c r="E2859" s="3">
        <v>0.0</v>
      </c>
      <c r="F2859" s="3">
        <v>0.0</v>
      </c>
      <c r="G2859" s="3">
        <v>0.0</v>
      </c>
      <c r="H2859" s="3">
        <v>0.0</v>
      </c>
      <c r="I2859" s="2" t="str">
        <f>IFERROR(__xludf.DUMMYFUNCTION("INDEX(SPLIT(A2859, ""/""), 0, 2)"),"regex")</f>
        <v>regex</v>
      </c>
      <c r="J2859" s="2" t="b">
        <f t="shared" si="1"/>
        <v>0</v>
      </c>
    </row>
    <row r="2860">
      <c r="A2860" s="1" t="s">
        <v>2214</v>
      </c>
      <c r="B2860" s="3">
        <v>105.0</v>
      </c>
      <c r="C2860" s="3">
        <v>60.0</v>
      </c>
      <c r="D2860" s="3">
        <v>0.0</v>
      </c>
      <c r="E2860" s="3">
        <v>0.0</v>
      </c>
      <c r="F2860" s="3">
        <v>0.0</v>
      </c>
      <c r="G2860" s="3">
        <v>0.0</v>
      </c>
      <c r="H2860" s="3">
        <v>0.0</v>
      </c>
      <c r="I2860" s="2" t="str">
        <f>IFERROR(__xludf.DUMMYFUNCTION("INDEX(SPLIT(A2860, ""/""), 0, 2)"),"regex")</f>
        <v>regex</v>
      </c>
      <c r="J2860" s="2" t="b">
        <f t="shared" si="1"/>
        <v>0</v>
      </c>
    </row>
    <row r="2861">
      <c r="A2861" s="1" t="s">
        <v>2215</v>
      </c>
      <c r="B2861" s="3">
        <v>79.0</v>
      </c>
      <c r="C2861" s="3">
        <v>60.0</v>
      </c>
      <c r="D2861" s="3">
        <v>0.0</v>
      </c>
      <c r="E2861" s="3">
        <v>0.0</v>
      </c>
      <c r="F2861" s="3">
        <v>0.0</v>
      </c>
      <c r="G2861" s="3">
        <v>0.0</v>
      </c>
      <c r="H2861" s="3">
        <v>0.0</v>
      </c>
      <c r="I2861" s="2" t="str">
        <f>IFERROR(__xludf.DUMMYFUNCTION("INDEX(SPLIT(A2861, ""/""), 0, 2)"),"regex")</f>
        <v>regex</v>
      </c>
      <c r="J2861" s="2" t="b">
        <f t="shared" si="1"/>
        <v>0</v>
      </c>
    </row>
    <row r="2862">
      <c r="A2862" s="1" t="s">
        <v>2216</v>
      </c>
      <c r="B2862" s="3">
        <v>57.0</v>
      </c>
      <c r="C2862" s="3">
        <v>60.0</v>
      </c>
      <c r="D2862" s="3">
        <v>0.0</v>
      </c>
      <c r="E2862" s="3">
        <v>0.0</v>
      </c>
      <c r="F2862" s="3">
        <v>0.0</v>
      </c>
      <c r="G2862" s="3">
        <v>0.0</v>
      </c>
      <c r="H2862" s="3">
        <v>0.0</v>
      </c>
      <c r="I2862" s="2" t="str">
        <f>IFERROR(__xludf.DUMMYFUNCTION("INDEX(SPLIT(A2862, ""/""), 0, 2)"),"regex")</f>
        <v>regex</v>
      </c>
      <c r="J2862" s="2" t="b">
        <f t="shared" si="1"/>
        <v>0</v>
      </c>
    </row>
    <row r="2863">
      <c r="A2863" s="1" t="s">
        <v>2217</v>
      </c>
      <c r="B2863" s="3">
        <v>570.0</v>
      </c>
      <c r="C2863" s="3">
        <v>60.0</v>
      </c>
      <c r="D2863" s="3">
        <v>0.0</v>
      </c>
      <c r="E2863" s="3">
        <v>0.0</v>
      </c>
      <c r="F2863" s="3">
        <v>0.0</v>
      </c>
      <c r="G2863" s="3">
        <v>0.0</v>
      </c>
      <c r="H2863" s="3">
        <v>0.0</v>
      </c>
      <c r="I2863" s="2" t="str">
        <f>IFERROR(__xludf.DUMMYFUNCTION("INDEX(SPLIT(A2863, ""/""), 0, 2)"),"regex")</f>
        <v>regex</v>
      </c>
      <c r="J2863" s="2" t="b">
        <f t="shared" si="1"/>
        <v>0</v>
      </c>
    </row>
    <row r="2864">
      <c r="A2864" s="1" t="s">
        <v>2218</v>
      </c>
      <c r="B2864" s="3">
        <v>15918.0</v>
      </c>
      <c r="C2864" s="3">
        <v>60.0</v>
      </c>
      <c r="D2864" s="3">
        <v>345.0</v>
      </c>
      <c r="E2864" s="3">
        <v>274.0</v>
      </c>
      <c r="F2864" s="3">
        <v>283.0</v>
      </c>
      <c r="G2864" s="3">
        <v>290.0</v>
      </c>
      <c r="H2864" s="3">
        <v>290.0</v>
      </c>
      <c r="I2864" s="2" t="str">
        <f>IFERROR(__xludf.DUMMYFUNCTION("INDEX(SPLIT(A2864, ""/""), 0, 2)"),"regex")</f>
        <v>regex</v>
      </c>
      <c r="J2864" s="2" t="b">
        <f t="shared" si="1"/>
        <v>1</v>
      </c>
    </row>
    <row r="2865">
      <c r="A2865" s="1" t="s">
        <v>2219</v>
      </c>
      <c r="B2865" s="3">
        <v>64.0</v>
      </c>
      <c r="C2865" s="3">
        <v>60.0</v>
      </c>
      <c r="D2865" s="3">
        <v>0.0</v>
      </c>
      <c r="E2865" s="3">
        <v>0.0</v>
      </c>
      <c r="F2865" s="3">
        <v>0.0</v>
      </c>
      <c r="G2865" s="3">
        <v>0.0</v>
      </c>
      <c r="H2865" s="3">
        <v>0.0</v>
      </c>
      <c r="I2865" s="2" t="str">
        <f>IFERROR(__xludf.DUMMYFUNCTION("INDEX(SPLIT(A2865, ""/""), 0, 2)"),"regex")</f>
        <v>regex</v>
      </c>
      <c r="J2865" s="2" t="b">
        <f t="shared" si="1"/>
        <v>0</v>
      </c>
    </row>
    <row r="2866">
      <c r="A2866" s="1" t="s">
        <v>2220</v>
      </c>
      <c r="B2866" s="3">
        <v>68.0</v>
      </c>
      <c r="C2866" s="3">
        <v>60.0</v>
      </c>
      <c r="D2866" s="3">
        <v>0.0</v>
      </c>
      <c r="E2866" s="3">
        <v>0.0</v>
      </c>
      <c r="F2866" s="3">
        <v>0.0</v>
      </c>
      <c r="G2866" s="3">
        <v>0.0</v>
      </c>
      <c r="H2866" s="3">
        <v>0.0</v>
      </c>
      <c r="I2866" s="2" t="str">
        <f>IFERROR(__xludf.DUMMYFUNCTION("INDEX(SPLIT(A2866, ""/""), 0, 2)"),"regex")</f>
        <v>regex</v>
      </c>
      <c r="J2866" s="2" t="b">
        <f t="shared" si="1"/>
        <v>0</v>
      </c>
    </row>
    <row r="2867">
      <c r="A2867" s="1" t="s">
        <v>2221</v>
      </c>
      <c r="B2867" s="3">
        <v>110.0</v>
      </c>
      <c r="C2867" s="3">
        <v>60.0</v>
      </c>
      <c r="D2867" s="3">
        <v>0.0</v>
      </c>
      <c r="E2867" s="3">
        <v>0.0</v>
      </c>
      <c r="F2867" s="3">
        <v>0.0</v>
      </c>
      <c r="G2867" s="3">
        <v>0.0</v>
      </c>
      <c r="H2867" s="3">
        <v>0.0</v>
      </c>
      <c r="I2867" s="2" t="str">
        <f>IFERROR(__xludf.DUMMYFUNCTION("INDEX(SPLIT(A2867, ""/""), 0, 2)"),"regex")</f>
        <v>regex</v>
      </c>
      <c r="J2867" s="2" t="b">
        <f t="shared" si="1"/>
        <v>0</v>
      </c>
    </row>
    <row r="2868">
      <c r="A2868" s="1" t="s">
        <v>2222</v>
      </c>
      <c r="B2868" s="3">
        <v>93.0</v>
      </c>
      <c r="C2868" s="3">
        <v>60.0</v>
      </c>
      <c r="D2868" s="3">
        <v>0.0</v>
      </c>
      <c r="E2868" s="3">
        <v>0.0</v>
      </c>
      <c r="F2868" s="3">
        <v>0.0</v>
      </c>
      <c r="G2868" s="3">
        <v>0.0</v>
      </c>
      <c r="H2868" s="3">
        <v>0.0</v>
      </c>
      <c r="I2868" s="2" t="str">
        <f>IFERROR(__xludf.DUMMYFUNCTION("INDEX(SPLIT(A2868, ""/""), 0, 2)"),"regex")</f>
        <v>regex</v>
      </c>
      <c r="J2868" s="2" t="b">
        <f t="shared" si="1"/>
        <v>0</v>
      </c>
    </row>
    <row r="2869">
      <c r="A2869" s="1" t="s">
        <v>2223</v>
      </c>
      <c r="B2869" s="3">
        <v>95.0</v>
      </c>
      <c r="C2869" s="3">
        <v>60.0</v>
      </c>
      <c r="D2869" s="3">
        <v>0.0</v>
      </c>
      <c r="E2869" s="3">
        <v>0.0</v>
      </c>
      <c r="F2869" s="3">
        <v>0.0</v>
      </c>
      <c r="G2869" s="3">
        <v>0.0</v>
      </c>
      <c r="H2869" s="3">
        <v>0.0</v>
      </c>
      <c r="I2869" s="2" t="str">
        <f>IFERROR(__xludf.DUMMYFUNCTION("INDEX(SPLIT(A2869, ""/""), 0, 2)"),"regex")</f>
        <v>regex</v>
      </c>
      <c r="J2869" s="2" t="b">
        <f t="shared" si="1"/>
        <v>0</v>
      </c>
    </row>
    <row r="2870">
      <c r="A2870" s="1" t="s">
        <v>2224</v>
      </c>
      <c r="B2870" s="3">
        <v>288.0</v>
      </c>
      <c r="C2870" s="3">
        <v>60.0</v>
      </c>
      <c r="D2870" s="3">
        <v>1.0</v>
      </c>
      <c r="E2870" s="3">
        <v>0.0</v>
      </c>
      <c r="F2870" s="3">
        <v>0.0</v>
      </c>
      <c r="G2870" s="3">
        <v>0.0</v>
      </c>
      <c r="H2870" s="3">
        <v>0.0</v>
      </c>
      <c r="I2870" s="2" t="str">
        <f>IFERROR(__xludf.DUMMYFUNCTION("INDEX(SPLIT(A2870, ""/""), 0, 2)"),"regex")</f>
        <v>regex</v>
      </c>
      <c r="J2870" s="2" t="b">
        <f t="shared" si="1"/>
        <v>0</v>
      </c>
    </row>
    <row r="2871">
      <c r="A2871" s="1" t="s">
        <v>2225</v>
      </c>
      <c r="B2871" s="3">
        <v>95.0</v>
      </c>
      <c r="C2871" s="3">
        <v>60.0</v>
      </c>
      <c r="D2871" s="3">
        <v>0.0</v>
      </c>
      <c r="E2871" s="3">
        <v>0.0</v>
      </c>
      <c r="F2871" s="3">
        <v>0.0</v>
      </c>
      <c r="G2871" s="3">
        <v>0.0</v>
      </c>
      <c r="H2871" s="3">
        <v>0.0</v>
      </c>
      <c r="I2871" s="2" t="str">
        <f>IFERROR(__xludf.DUMMYFUNCTION("INDEX(SPLIT(A2871, ""/""), 0, 2)"),"regex")</f>
        <v>regex</v>
      </c>
      <c r="J2871" s="2" t="b">
        <f t="shared" si="1"/>
        <v>0</v>
      </c>
    </row>
    <row r="2872">
      <c r="A2872" s="1" t="s">
        <v>2226</v>
      </c>
      <c r="B2872" s="3">
        <v>109.0</v>
      </c>
      <c r="C2872" s="3">
        <v>60.0</v>
      </c>
      <c r="D2872" s="3">
        <v>0.0</v>
      </c>
      <c r="E2872" s="3">
        <v>0.0</v>
      </c>
      <c r="F2872" s="3">
        <v>0.0</v>
      </c>
      <c r="G2872" s="3">
        <v>0.0</v>
      </c>
      <c r="H2872" s="3">
        <v>0.0</v>
      </c>
      <c r="I2872" s="2" t="str">
        <f>IFERROR(__xludf.DUMMYFUNCTION("INDEX(SPLIT(A2872, ""/""), 0, 2)"),"regex")</f>
        <v>regex</v>
      </c>
      <c r="J2872" s="2" t="b">
        <f t="shared" si="1"/>
        <v>0</v>
      </c>
    </row>
    <row r="2873">
      <c r="A2873" s="1" t="s">
        <v>2227</v>
      </c>
      <c r="B2873" s="3">
        <v>67.0</v>
      </c>
      <c r="C2873" s="3">
        <v>60.0</v>
      </c>
      <c r="D2873" s="3">
        <v>0.0</v>
      </c>
      <c r="E2873" s="3">
        <v>0.0</v>
      </c>
      <c r="F2873" s="3">
        <v>0.0</v>
      </c>
      <c r="G2873" s="3">
        <v>0.0</v>
      </c>
      <c r="H2873" s="3">
        <v>0.0</v>
      </c>
      <c r="I2873" s="2" t="str">
        <f>IFERROR(__xludf.DUMMYFUNCTION("INDEX(SPLIT(A2873, ""/""), 0, 2)"),"regex")</f>
        <v>regex</v>
      </c>
      <c r="J2873" s="2" t="b">
        <f t="shared" si="1"/>
        <v>0</v>
      </c>
    </row>
    <row r="2874">
      <c r="A2874" s="1" t="s">
        <v>2228</v>
      </c>
      <c r="B2874" s="3">
        <v>72.0</v>
      </c>
      <c r="C2874" s="3">
        <v>60.0</v>
      </c>
      <c r="D2874" s="3">
        <v>0.0</v>
      </c>
      <c r="E2874" s="3">
        <v>0.0</v>
      </c>
      <c r="F2874" s="3">
        <v>0.0</v>
      </c>
      <c r="G2874" s="3">
        <v>0.0</v>
      </c>
      <c r="H2874" s="3">
        <v>0.0</v>
      </c>
      <c r="I2874" s="2" t="str">
        <f>IFERROR(__xludf.DUMMYFUNCTION("INDEX(SPLIT(A2874, ""/""), 0, 2)"),"regex")</f>
        <v>regex</v>
      </c>
      <c r="J2874" s="2" t="b">
        <f t="shared" si="1"/>
        <v>0</v>
      </c>
    </row>
    <row r="2875">
      <c r="A2875" s="1" t="s">
        <v>2229</v>
      </c>
      <c r="B2875" s="3">
        <v>127.0</v>
      </c>
      <c r="C2875" s="3">
        <v>60.0</v>
      </c>
      <c r="D2875" s="3">
        <v>0.0</v>
      </c>
      <c r="E2875" s="3">
        <v>0.0</v>
      </c>
      <c r="F2875" s="3">
        <v>0.0</v>
      </c>
      <c r="G2875" s="3">
        <v>0.0</v>
      </c>
      <c r="H2875" s="3">
        <v>0.0</v>
      </c>
      <c r="I2875" s="2" t="str">
        <f>IFERROR(__xludf.DUMMYFUNCTION("INDEX(SPLIT(A2875, ""/""), 0, 2)"),"regex")</f>
        <v>regex</v>
      </c>
      <c r="J2875" s="2" t="b">
        <f t="shared" si="1"/>
        <v>0</v>
      </c>
    </row>
    <row r="2876">
      <c r="A2876" s="1" t="s">
        <v>2230</v>
      </c>
      <c r="B2876" s="3">
        <v>1649.0</v>
      </c>
      <c r="C2876" s="3">
        <v>60.0</v>
      </c>
      <c r="D2876" s="3">
        <v>5.0</v>
      </c>
      <c r="E2876" s="3">
        <v>0.0</v>
      </c>
      <c r="F2876" s="3">
        <v>0.0</v>
      </c>
      <c r="G2876" s="3">
        <v>1.0</v>
      </c>
      <c r="H2876" s="3">
        <v>0.0</v>
      </c>
      <c r="I2876" s="2" t="str">
        <f>IFERROR(__xludf.DUMMYFUNCTION("INDEX(SPLIT(A2876, ""/""), 0, 2)"),"regex")</f>
        <v>regex</v>
      </c>
      <c r="J2876" s="2" t="b">
        <f t="shared" si="1"/>
        <v>0</v>
      </c>
    </row>
    <row r="2877">
      <c r="A2877" s="1" t="s">
        <v>2231</v>
      </c>
      <c r="B2877" s="3">
        <v>676.0</v>
      </c>
      <c r="C2877" s="3">
        <v>60.0</v>
      </c>
      <c r="D2877" s="3">
        <v>9.0</v>
      </c>
      <c r="E2877" s="3">
        <v>0.0</v>
      </c>
      <c r="F2877" s="3">
        <v>1.0</v>
      </c>
      <c r="G2877" s="3">
        <v>5.0</v>
      </c>
      <c r="H2877" s="3">
        <v>0.0</v>
      </c>
      <c r="I2877" s="2" t="str">
        <f>IFERROR(__xludf.DUMMYFUNCTION("INDEX(SPLIT(A2877, ""/""), 0, 2)"),"regex")</f>
        <v>regex</v>
      </c>
      <c r="J2877" s="2" t="b">
        <f t="shared" si="1"/>
        <v>0</v>
      </c>
    </row>
    <row r="2878">
      <c r="A2878" s="1" t="s">
        <v>2232</v>
      </c>
      <c r="B2878" s="3">
        <v>111.0</v>
      </c>
      <c r="C2878" s="3">
        <v>60.0</v>
      </c>
      <c r="D2878" s="3">
        <v>0.0</v>
      </c>
      <c r="E2878" s="3">
        <v>0.0</v>
      </c>
      <c r="F2878" s="3">
        <v>0.0</v>
      </c>
      <c r="G2878" s="3">
        <v>0.0</v>
      </c>
      <c r="H2878" s="3">
        <v>0.0</v>
      </c>
      <c r="I2878" s="2" t="str">
        <f>IFERROR(__xludf.DUMMYFUNCTION("INDEX(SPLIT(A2878, ""/""), 0, 2)"),"regex")</f>
        <v>regex</v>
      </c>
      <c r="J2878" s="2" t="b">
        <f t="shared" si="1"/>
        <v>0</v>
      </c>
    </row>
    <row r="2879">
      <c r="A2879" s="1" t="s">
        <v>2233</v>
      </c>
      <c r="B2879" s="3">
        <v>812.0</v>
      </c>
      <c r="C2879" s="3">
        <v>60.0</v>
      </c>
      <c r="D2879" s="3">
        <v>8.0</v>
      </c>
      <c r="E2879" s="3">
        <v>0.0</v>
      </c>
      <c r="F2879" s="3">
        <v>2.0</v>
      </c>
      <c r="G2879" s="3">
        <v>1.0</v>
      </c>
      <c r="H2879" s="3">
        <v>0.0</v>
      </c>
      <c r="I2879" s="2" t="str">
        <f>IFERROR(__xludf.DUMMYFUNCTION("INDEX(SPLIT(A2879, ""/""), 0, 2)"),"regex")</f>
        <v>regex</v>
      </c>
      <c r="J2879" s="2" t="b">
        <f t="shared" si="1"/>
        <v>0</v>
      </c>
    </row>
    <row r="2880">
      <c r="A2880" s="1" t="s">
        <v>2234</v>
      </c>
      <c r="B2880" s="3">
        <v>1859.0</v>
      </c>
      <c r="C2880" s="3">
        <v>60.0</v>
      </c>
      <c r="D2880" s="3">
        <v>20.0</v>
      </c>
      <c r="E2880" s="3">
        <v>2.0</v>
      </c>
      <c r="F2880" s="3">
        <v>2.0</v>
      </c>
      <c r="G2880" s="3">
        <v>2.0</v>
      </c>
      <c r="H2880" s="3">
        <v>1.0</v>
      </c>
      <c r="I2880" s="2" t="str">
        <f>IFERROR(__xludf.DUMMYFUNCTION("INDEX(SPLIT(A2880, ""/""), 0, 2)"),"regex")</f>
        <v>regex</v>
      </c>
      <c r="J2880" s="2" t="b">
        <f t="shared" si="1"/>
        <v>1</v>
      </c>
    </row>
    <row r="2881">
      <c r="A2881" s="1" t="s">
        <v>2235</v>
      </c>
      <c r="B2881" s="3">
        <v>67.0</v>
      </c>
      <c r="C2881" s="3">
        <v>60.0</v>
      </c>
      <c r="D2881" s="3">
        <v>0.0</v>
      </c>
      <c r="E2881" s="3">
        <v>0.0</v>
      </c>
      <c r="F2881" s="3">
        <v>0.0</v>
      </c>
      <c r="G2881" s="3">
        <v>0.0</v>
      </c>
      <c r="H2881" s="3">
        <v>0.0</v>
      </c>
      <c r="I2881" s="2" t="str">
        <f>IFERROR(__xludf.DUMMYFUNCTION("INDEX(SPLIT(A2881, ""/""), 0, 2)"),"regex")</f>
        <v>regex</v>
      </c>
      <c r="J2881" s="2" t="b">
        <f t="shared" si="1"/>
        <v>0</v>
      </c>
    </row>
    <row r="2882">
      <c r="A2882" s="1" t="s">
        <v>2236</v>
      </c>
      <c r="B2882" s="3">
        <v>72.0</v>
      </c>
      <c r="C2882" s="3">
        <v>60.0</v>
      </c>
      <c r="D2882" s="3">
        <v>0.0</v>
      </c>
      <c r="E2882" s="3">
        <v>0.0</v>
      </c>
      <c r="F2882" s="3">
        <v>0.0</v>
      </c>
      <c r="G2882" s="3">
        <v>0.0</v>
      </c>
      <c r="H2882" s="3">
        <v>0.0</v>
      </c>
      <c r="I2882" s="2" t="str">
        <f>IFERROR(__xludf.DUMMYFUNCTION("INDEX(SPLIT(A2882, ""/""), 0, 2)"),"regex")</f>
        <v>regex</v>
      </c>
      <c r="J2882" s="2" t="b">
        <f t="shared" si="1"/>
        <v>0</v>
      </c>
    </row>
    <row r="2883">
      <c r="A2883" s="1" t="s">
        <v>2237</v>
      </c>
      <c r="B2883" s="3">
        <v>71.0</v>
      </c>
      <c r="C2883" s="3">
        <v>60.0</v>
      </c>
      <c r="D2883" s="3">
        <v>0.0</v>
      </c>
      <c r="E2883" s="3">
        <v>0.0</v>
      </c>
      <c r="F2883" s="3">
        <v>0.0</v>
      </c>
      <c r="G2883" s="3">
        <v>0.0</v>
      </c>
      <c r="H2883" s="3">
        <v>0.0</v>
      </c>
      <c r="I2883" s="2" t="str">
        <f>IFERROR(__xludf.DUMMYFUNCTION("INDEX(SPLIT(A2883, ""/""), 0, 2)"),"regex")</f>
        <v>regex</v>
      </c>
      <c r="J2883" s="2" t="b">
        <f t="shared" si="1"/>
        <v>0</v>
      </c>
    </row>
    <row r="2884">
      <c r="A2884" s="1" t="s">
        <v>2238</v>
      </c>
      <c r="B2884" s="3">
        <v>106.0</v>
      </c>
      <c r="C2884" s="3">
        <v>60.0</v>
      </c>
      <c r="D2884" s="3">
        <v>0.0</v>
      </c>
      <c r="E2884" s="3">
        <v>0.0</v>
      </c>
      <c r="F2884" s="3">
        <v>0.0</v>
      </c>
      <c r="G2884" s="3">
        <v>0.0</v>
      </c>
      <c r="H2884" s="3">
        <v>0.0</v>
      </c>
      <c r="I2884" s="2" t="str">
        <f>IFERROR(__xludf.DUMMYFUNCTION("INDEX(SPLIT(A2884, ""/""), 0, 2)"),"regex")</f>
        <v>regex</v>
      </c>
      <c r="J2884" s="2" t="b">
        <f t="shared" si="1"/>
        <v>0</v>
      </c>
    </row>
    <row r="2885">
      <c r="A2885" s="1" t="s">
        <v>2239</v>
      </c>
      <c r="B2885" s="3">
        <v>114.0</v>
      </c>
      <c r="C2885" s="3">
        <v>60.0</v>
      </c>
      <c r="D2885" s="3">
        <v>0.0</v>
      </c>
      <c r="E2885" s="3">
        <v>0.0</v>
      </c>
      <c r="F2885" s="3">
        <v>0.0</v>
      </c>
      <c r="G2885" s="3">
        <v>0.0</v>
      </c>
      <c r="H2885" s="3">
        <v>0.0</v>
      </c>
      <c r="I2885" s="2" t="str">
        <f>IFERROR(__xludf.DUMMYFUNCTION("INDEX(SPLIT(A2885, ""/""), 0, 2)"),"regex")</f>
        <v>regex</v>
      </c>
      <c r="J2885" s="2" t="b">
        <f t="shared" si="1"/>
        <v>0</v>
      </c>
    </row>
    <row r="2886">
      <c r="A2886" s="1" t="s">
        <v>2240</v>
      </c>
      <c r="B2886" s="3">
        <v>40.0</v>
      </c>
      <c r="C2886" s="3">
        <v>60.0</v>
      </c>
      <c r="D2886" s="3">
        <v>0.0</v>
      </c>
      <c r="E2886" s="3">
        <v>0.0</v>
      </c>
      <c r="F2886" s="3">
        <v>0.0</v>
      </c>
      <c r="G2886" s="3">
        <v>0.0</v>
      </c>
      <c r="H2886" s="3">
        <v>0.0</v>
      </c>
      <c r="I2886" s="2" t="str">
        <f>IFERROR(__xludf.DUMMYFUNCTION("INDEX(SPLIT(A2886, ""/""), 0, 2)"),"regex")</f>
        <v>regex</v>
      </c>
      <c r="J2886" s="2" t="b">
        <f t="shared" si="1"/>
        <v>0</v>
      </c>
    </row>
    <row r="2887">
      <c r="A2887" s="1" t="s">
        <v>2241</v>
      </c>
      <c r="B2887" s="3">
        <v>18.0</v>
      </c>
      <c r="C2887" s="3">
        <v>60.0</v>
      </c>
      <c r="D2887" s="3">
        <v>0.0</v>
      </c>
      <c r="E2887" s="3">
        <v>0.0</v>
      </c>
      <c r="F2887" s="3">
        <v>0.0</v>
      </c>
      <c r="G2887" s="3">
        <v>0.0</v>
      </c>
      <c r="H2887" s="3">
        <v>0.0</v>
      </c>
      <c r="I2887" s="2" t="str">
        <f>IFERROR(__xludf.DUMMYFUNCTION("INDEX(SPLIT(A2887, ""/""), 0, 2)"),"regex")</f>
        <v>regex</v>
      </c>
      <c r="J2887" s="2" t="b">
        <f t="shared" si="1"/>
        <v>0</v>
      </c>
    </row>
    <row r="2888">
      <c r="A2888" s="1" t="s">
        <v>2242</v>
      </c>
      <c r="B2888" s="3">
        <v>76.0</v>
      </c>
      <c r="C2888" s="3">
        <v>60.0</v>
      </c>
      <c r="D2888" s="3">
        <v>0.0</v>
      </c>
      <c r="E2888" s="3">
        <v>0.0</v>
      </c>
      <c r="F2888" s="3">
        <v>0.0</v>
      </c>
      <c r="G2888" s="3">
        <v>0.0</v>
      </c>
      <c r="H2888" s="3">
        <v>0.0</v>
      </c>
      <c r="I2888" s="2" t="str">
        <f>IFERROR(__xludf.DUMMYFUNCTION("INDEX(SPLIT(A2888, ""/""), 0, 2)"),"regex")</f>
        <v>regex</v>
      </c>
      <c r="J2888" s="2" t="b">
        <f t="shared" si="1"/>
        <v>0</v>
      </c>
    </row>
    <row r="2889">
      <c r="A2889" s="1" t="s">
        <v>2243</v>
      </c>
      <c r="B2889" s="3">
        <v>669.0</v>
      </c>
      <c r="C2889" s="3">
        <v>60.0</v>
      </c>
      <c r="D2889" s="3">
        <v>5.0</v>
      </c>
      <c r="E2889" s="3">
        <v>1.0</v>
      </c>
      <c r="F2889" s="3">
        <v>1.0</v>
      </c>
      <c r="G2889" s="3">
        <v>4.0</v>
      </c>
      <c r="H2889" s="3">
        <v>0.0</v>
      </c>
      <c r="I2889" s="2" t="str">
        <f>IFERROR(__xludf.DUMMYFUNCTION("INDEX(SPLIT(A2889, ""/""), 0, 2)"),"regex")</f>
        <v>regex</v>
      </c>
      <c r="J2889" s="2" t="b">
        <f t="shared" si="1"/>
        <v>0</v>
      </c>
    </row>
    <row r="2890">
      <c r="A2890" s="1" t="s">
        <v>2244</v>
      </c>
      <c r="B2890" s="3">
        <v>48.0</v>
      </c>
      <c r="C2890" s="3">
        <v>60.0</v>
      </c>
      <c r="D2890" s="3">
        <v>0.0</v>
      </c>
      <c r="E2890" s="3">
        <v>0.0</v>
      </c>
      <c r="F2890" s="3">
        <v>0.0</v>
      </c>
      <c r="G2890" s="3">
        <v>0.0</v>
      </c>
      <c r="H2890" s="3">
        <v>0.0</v>
      </c>
      <c r="I2890" s="2" t="str">
        <f>IFERROR(__xludf.DUMMYFUNCTION("INDEX(SPLIT(A2890, ""/""), 0, 2)"),"regex")</f>
        <v>regex</v>
      </c>
      <c r="J2890" s="2" t="b">
        <f t="shared" si="1"/>
        <v>0</v>
      </c>
    </row>
    <row r="2891">
      <c r="A2891" s="1" t="s">
        <v>2245</v>
      </c>
      <c r="B2891" s="3">
        <v>111.0</v>
      </c>
      <c r="C2891" s="3">
        <v>60.0</v>
      </c>
      <c r="D2891" s="3">
        <v>0.0</v>
      </c>
      <c r="E2891" s="3">
        <v>0.0</v>
      </c>
      <c r="F2891" s="3">
        <v>0.0</v>
      </c>
      <c r="G2891" s="3">
        <v>0.0</v>
      </c>
      <c r="H2891" s="3">
        <v>0.0</v>
      </c>
      <c r="I2891" s="2" t="str">
        <f>IFERROR(__xludf.DUMMYFUNCTION("INDEX(SPLIT(A2891, ""/""), 0, 2)"),"regex")</f>
        <v>regex</v>
      </c>
      <c r="J2891" s="2" t="b">
        <f t="shared" si="1"/>
        <v>0</v>
      </c>
    </row>
    <row r="2892">
      <c r="A2892" s="1" t="s">
        <v>2246</v>
      </c>
      <c r="B2892" s="3">
        <v>24136.0</v>
      </c>
      <c r="C2892" s="3">
        <v>60.0</v>
      </c>
      <c r="D2892" s="3">
        <v>54188.0</v>
      </c>
      <c r="E2892" s="3">
        <v>1155.0</v>
      </c>
      <c r="F2892" s="3">
        <v>1433.0</v>
      </c>
      <c r="G2892" s="3">
        <v>140.0</v>
      </c>
      <c r="H2892" s="3">
        <v>13.0</v>
      </c>
      <c r="I2892" s="2" t="str">
        <f>IFERROR(__xludf.DUMMYFUNCTION("INDEX(SPLIT(A2892, ""/""), 0, 2)"),"regex")</f>
        <v>regex</v>
      </c>
      <c r="J2892" s="2" t="b">
        <f t="shared" si="1"/>
        <v>1</v>
      </c>
    </row>
    <row r="2893">
      <c r="A2893" s="1" t="s">
        <v>2247</v>
      </c>
      <c r="B2893" s="3">
        <v>67.0</v>
      </c>
      <c r="C2893" s="3">
        <v>60.0</v>
      </c>
      <c r="D2893" s="3">
        <v>0.0</v>
      </c>
      <c r="E2893" s="3">
        <v>0.0</v>
      </c>
      <c r="F2893" s="3">
        <v>0.0</v>
      </c>
      <c r="G2893" s="3">
        <v>0.0</v>
      </c>
      <c r="H2893" s="3">
        <v>0.0</v>
      </c>
      <c r="I2893" s="2" t="str">
        <f>IFERROR(__xludf.DUMMYFUNCTION("INDEX(SPLIT(A2893, ""/""), 0, 2)"),"regex")</f>
        <v>regex</v>
      </c>
      <c r="J2893" s="2" t="b">
        <f t="shared" si="1"/>
        <v>0</v>
      </c>
    </row>
    <row r="2894">
      <c r="A2894" s="1" t="s">
        <v>2248</v>
      </c>
      <c r="B2894" s="3">
        <v>626.0</v>
      </c>
      <c r="C2894" s="3">
        <v>60.0</v>
      </c>
      <c r="D2894" s="3">
        <v>30.0</v>
      </c>
      <c r="E2894" s="3">
        <v>0.0</v>
      </c>
      <c r="F2894" s="3">
        <v>1.0</v>
      </c>
      <c r="G2894" s="3">
        <v>3.0</v>
      </c>
      <c r="H2894" s="3">
        <v>0.0</v>
      </c>
      <c r="I2894" s="2" t="str">
        <f>IFERROR(__xludf.DUMMYFUNCTION("INDEX(SPLIT(A2894, ""/""), 0, 2)"),"regex")</f>
        <v>regex</v>
      </c>
      <c r="J2894" s="2" t="b">
        <f t="shared" si="1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</cols>
  <sheetData>
    <row r="1">
      <c r="A1" s="2" t="str">
        <f>IFERROR(__xludf.DUMMYFUNCTION("ARRAYFORMULA(IF(exact(FILTER(raw!A:I, raw!J:J), ""Timeout""), 60000, FILTER(raw!A:I, raw!J:J)))"),"name")</f>
        <v>name</v>
      </c>
      <c r="B1" s="4" t="str">
        <f>IFERROR(__xludf.DUMMYFUNCTION("""COMPUTED_VALUE"""),"size")</f>
        <v>size</v>
      </c>
      <c r="C1" s="4" t="str">
        <f>IFERROR(__xludf.DUMMYFUNCTION("""COMPUTED_VALUE"""),"timeout")</f>
        <v>timeout</v>
      </c>
      <c r="D1" s="4" t="str">
        <f>IFERROR(__xludf.DUMMYFUNCTION("""COMPUTED_VALUE"""),"time (naive)")</f>
        <v>time (naive)</v>
      </c>
      <c r="E1" s="4" t="str">
        <f>IFERROR(__xludf.DUMMYFUNCTION("""COMPUTED_VALUE"""),"time (simple)")</f>
        <v>time (simple)</v>
      </c>
      <c r="F1" s="4" t="str">
        <f>IFERROR(__xludf.DUMMYFUNCTION("""COMPUTED_VALUE"""),"time (bfgt)")</f>
        <v>time (bfgt)</v>
      </c>
      <c r="G1" s="4" t="str">
        <f>IFERROR(__xludf.DUMMYFUNCTION("""COMPUTED_VALUE"""),"time (log)")</f>
        <v>time (log)</v>
      </c>
      <c r="H1" s="4" t="str">
        <f>IFERROR(__xludf.DUMMYFUNCTION("""COMPUTED_VALUE"""),"time (jump)")</f>
        <v>time (jump)</v>
      </c>
      <c r="I1" s="2" t="str">
        <f>IFERROR(__xludf.DUMMYFUNCTION("""COMPUTED_VALUE"""),"category")</f>
        <v>category</v>
      </c>
      <c r="J1" s="1" t="s">
        <v>2913</v>
      </c>
      <c r="K1" s="1" t="s">
        <v>2914</v>
      </c>
      <c r="L1" s="1" t="s">
        <v>2915</v>
      </c>
      <c r="O1" s="1" t="s">
        <v>2916</v>
      </c>
      <c r="Q1" s="1" t="str">
        <f>IFERROR(__xludf.DUMMYFUNCTION("UNIQUE(I:I)"),"category")</f>
        <v>category</v>
      </c>
      <c r="R1" s="1" t="s">
        <v>2917</v>
      </c>
      <c r="S1" s="5" t="s">
        <v>2918</v>
      </c>
      <c r="T1" s="5" t="s">
        <v>2919</v>
      </c>
      <c r="U1" s="5" t="s">
        <v>2920</v>
      </c>
      <c r="V1" s="5" t="s">
        <v>2921</v>
      </c>
      <c r="W1" s="5" t="s">
        <v>2922</v>
      </c>
      <c r="X1" s="1" t="s">
        <v>2923</v>
      </c>
      <c r="Y1" s="1" t="s">
        <v>2924</v>
      </c>
      <c r="Z1" s="1" t="s">
        <v>2925</v>
      </c>
      <c r="AA1" s="1" t="s">
        <v>2926</v>
      </c>
      <c r="AB1" s="1" t="s">
        <v>2927</v>
      </c>
      <c r="AC1" s="1" t="s">
        <v>2928</v>
      </c>
      <c r="AD1" s="1" t="s">
        <v>2929</v>
      </c>
      <c r="AE1" s="1" t="s">
        <v>2930</v>
      </c>
      <c r="AF1" s="1" t="s">
        <v>2931</v>
      </c>
      <c r="AG1" s="1" t="s">
        <v>2932</v>
      </c>
    </row>
    <row r="2">
      <c r="A2" s="2" t="str">
        <f>IFERROR(__xludf.DUMMYFUNCTION("""COMPUTED_VALUE"""),"examples/generated/unkrevcompleteacyclic_100")</f>
        <v>examples/generated/unkrevcompleteacyclic_100</v>
      </c>
      <c r="B2" s="4">
        <f>IFERROR(__xludf.DUMMYFUNCTION("""COMPUTED_VALUE"""),5150.0)</f>
        <v>5150</v>
      </c>
      <c r="C2" s="4">
        <f>IFERROR(__xludf.DUMMYFUNCTION("""COMPUTED_VALUE"""),60.0)</f>
        <v>60</v>
      </c>
      <c r="D2" s="4">
        <f>IFERROR(__xludf.DUMMYFUNCTION("""COMPUTED_VALUE"""),20.0)</f>
        <v>20</v>
      </c>
      <c r="E2" s="4">
        <f>IFERROR(__xludf.DUMMYFUNCTION("""COMPUTED_VALUE"""),29.0)</f>
        <v>29</v>
      </c>
      <c r="F2" s="4">
        <f>IFERROR(__xludf.DUMMYFUNCTION("""COMPUTED_VALUE"""),4.0)</f>
        <v>4</v>
      </c>
      <c r="G2" s="4">
        <f>IFERROR(__xludf.DUMMYFUNCTION("""COMPUTED_VALUE"""),3.0)</f>
        <v>3</v>
      </c>
      <c r="H2" s="4">
        <f>IFERROR(__xludf.DUMMYFUNCTION("""COMPUTED_VALUE"""),1.0)</f>
        <v>1</v>
      </c>
      <c r="I2" s="2" t="str">
        <f>IFERROR(__xludf.DUMMYFUNCTION("""COMPUTED_VALUE"""),"generated")</f>
        <v>generated</v>
      </c>
      <c r="J2" s="2">
        <f t="shared" ref="J2:J545" si="2">ROUND(LOG10(B2)*3,0)</f>
        <v>11</v>
      </c>
      <c r="K2" s="2">
        <f t="shared" ref="K2:K545" si="3">10^(INT(J2/3)) * (1 + (MOD(J2,3)^2))</f>
        <v>5000</v>
      </c>
      <c r="L2" s="2" t="str">
        <f t="shared" ref="L2:L545" si="4">IF(AND(F2=0,G2=0,H2=0), 0, CONCATENATE(IF(AND(F2 &lt;= G2, F2 &lt;= H2), "B", ""), IF(AND(G2 &lt;= F2, G2 &lt;= H2), "J", ""), IF(AND(H2 &lt;= F2, H2 &lt;= G2), "P", "")))</f>
        <v>P</v>
      </c>
      <c r="M2" s="2" t="str">
        <f>IFERROR(__xludf.DUMMYFUNCTION("UNIQUE(L2:L545)"),"P")</f>
        <v>P</v>
      </c>
      <c r="N2" s="2">
        <f t="shared" ref="N2:N7" si="5">COUNTIFS($L$2:L545, M2)</f>
        <v>448</v>
      </c>
      <c r="Q2" s="2" t="str">
        <f>IFERROR(__xludf.DUMMYFUNCTION("""COMPUTED_VALUE"""),"generated")</f>
        <v>generated</v>
      </c>
      <c r="R2" s="2">
        <f t="shared" ref="R2:R4" si="6">COUNTIF($I:$I,Q2)</f>
        <v>80</v>
      </c>
      <c r="S2" s="6">
        <f>IFERROR(__xludf.DUMMYFUNCTION("AVERAGE(FILTER(D:D, $I:$I = $Q2))"),19716.9375)</f>
        <v>19716.9375</v>
      </c>
      <c r="T2" s="6">
        <f>IFERROR(__xludf.DUMMYFUNCTION("AVERAGE(FILTER(E:E, $I:$I = $Q2))"),8000.55)</f>
        <v>8000.55</v>
      </c>
      <c r="U2" s="6">
        <f>IFERROR(__xludf.DUMMYFUNCTION("AVERAGE(FILTER(F:F, $I:$I = $Q2))"),4503.0)</f>
        <v>4503</v>
      </c>
      <c r="V2" s="6">
        <f>IFERROR(__xludf.DUMMYFUNCTION("AVERAGE(FILTER(G:G, $I:$I = $Q2))"),804.4625)</f>
        <v>804.4625</v>
      </c>
      <c r="W2" s="6">
        <f>IFERROR(__xludf.DUMMYFUNCTION("AVERAGE(FILTER(H:H, $I:$I = $Q2))"),98.9375)</f>
        <v>98.9375</v>
      </c>
      <c r="X2" s="6">
        <f>IFERROR(__xludf.DUMMYFUNCTION("MEDIAN(FILTER(D:D, $I:$I = $Q2))"),1199.5)</f>
        <v>1199.5</v>
      </c>
      <c r="Y2" s="6">
        <f>IFERROR(__xludf.DUMMYFUNCTION("MEDIAN(FILTER(E:E, $I:$I = $Q2))"),76.0)</f>
        <v>76</v>
      </c>
      <c r="Z2" s="6">
        <f>IFERROR(__xludf.DUMMYFUNCTION("MEDIAN(FILTER(F:F, $I:$I = $Q2))"),34.5)</f>
        <v>34.5</v>
      </c>
      <c r="AA2" s="6">
        <f>IFERROR(__xludf.DUMMYFUNCTION("MEDIAN(FILTER(G:G, $I:$I = $Q2))"),73.5)</f>
        <v>73.5</v>
      </c>
      <c r="AB2" s="6">
        <f>IFERROR(__xludf.DUMMYFUNCTION("MEDIAN(FILTER(H:H, $I:$I = $Q2))"),10.0)</f>
        <v>10</v>
      </c>
      <c r="AC2" s="7">
        <f t="shared" ref="AC2:AG2" si="1">COUNTIFS($I:$I, $Q2, D:D, "&lt;60000") / $R2</f>
        <v>0.7125</v>
      </c>
      <c r="AD2" s="7">
        <f t="shared" si="1"/>
        <v>0.9</v>
      </c>
      <c r="AE2" s="7">
        <f t="shared" si="1"/>
        <v>0.95</v>
      </c>
      <c r="AF2" s="7">
        <f t="shared" si="1"/>
        <v>1</v>
      </c>
      <c r="AG2" s="7">
        <f t="shared" si="1"/>
        <v>1</v>
      </c>
    </row>
    <row r="3">
      <c r="A3" s="2" t="str">
        <f>IFERROR(__xludf.DUMMYFUNCTION("""COMPUTED_VALUE"""),"examples/generated/loop_1000")</f>
        <v>examples/generated/loop_1000</v>
      </c>
      <c r="B3" s="4">
        <f>IFERROR(__xludf.DUMMYFUNCTION("""COMPUTED_VALUE"""),2000.0)</f>
        <v>2000</v>
      </c>
      <c r="C3" s="4">
        <f>IFERROR(__xludf.DUMMYFUNCTION("""COMPUTED_VALUE"""),60.0)</f>
        <v>60</v>
      </c>
      <c r="D3" s="4">
        <f>IFERROR(__xludf.DUMMYFUNCTION("""COMPUTED_VALUE"""),133.0)</f>
        <v>133</v>
      </c>
      <c r="E3" s="4">
        <f>IFERROR(__xludf.DUMMYFUNCTION("""COMPUTED_VALUE"""),1.0)</f>
        <v>1</v>
      </c>
      <c r="F3" s="4">
        <f>IFERROR(__xludf.DUMMYFUNCTION("""COMPUTED_VALUE"""),4.0)</f>
        <v>4</v>
      </c>
      <c r="G3" s="4">
        <f>IFERROR(__xludf.DUMMYFUNCTION("""COMPUTED_VALUE"""),19.0)</f>
        <v>19</v>
      </c>
      <c r="H3" s="4">
        <f>IFERROR(__xludf.DUMMYFUNCTION("""COMPUTED_VALUE"""),1.0)</f>
        <v>1</v>
      </c>
      <c r="I3" s="2" t="str">
        <f>IFERROR(__xludf.DUMMYFUNCTION("""COMPUTED_VALUE"""),"generated")</f>
        <v>generated</v>
      </c>
      <c r="J3" s="2">
        <f t="shared" si="2"/>
        <v>10</v>
      </c>
      <c r="K3" s="2">
        <f t="shared" si="3"/>
        <v>2000</v>
      </c>
      <c r="L3" s="2" t="str">
        <f t="shared" si="4"/>
        <v>P</v>
      </c>
      <c r="M3" s="2" t="str">
        <f>IFERROR(__xludf.DUMMYFUNCTION("""COMPUTED_VALUE"""),"JP")</f>
        <v>JP</v>
      </c>
      <c r="N3" s="2">
        <f t="shared" si="5"/>
        <v>14</v>
      </c>
      <c r="Q3" s="2" t="str">
        <f>IFERROR(__xludf.DUMMYFUNCTION("""COMPUTED_VALUE"""),"random")</f>
        <v>random</v>
      </c>
      <c r="R3" s="2">
        <f t="shared" si="6"/>
        <v>390</v>
      </c>
      <c r="S3" s="6">
        <f>IFERROR(__xludf.DUMMYFUNCTION("AVERAGE(FILTER(D:D, $I:$I = $Q3))"),37754.21538461538)</f>
        <v>37754.21538</v>
      </c>
      <c r="T3" s="6">
        <f>IFERROR(__xludf.DUMMYFUNCTION("AVERAGE(FILTER(E:E, $I:$I = $Q3))"),13210.384615384615)</f>
        <v>13210.38462</v>
      </c>
      <c r="U3" s="6">
        <f>IFERROR(__xludf.DUMMYFUNCTION("AVERAGE(FILTER(F:F, $I:$I = $Q3))"),15491.117948717949)</f>
        <v>15491.11795</v>
      </c>
      <c r="V3" s="6">
        <f>IFERROR(__xludf.DUMMYFUNCTION("AVERAGE(FILTER(G:G, $I:$I = $Q3))"),258.0128205128205)</f>
        <v>258.0128205</v>
      </c>
      <c r="W3" s="6">
        <f>IFERROR(__xludf.DUMMYFUNCTION("AVERAGE(FILTER(H:H, $I:$I = $Q3))"),79.54615384615384)</f>
        <v>79.54615385</v>
      </c>
      <c r="X3" s="6">
        <f>IFERROR(__xludf.DUMMYFUNCTION("MEDIAN(FILTER(D:D, $I:$I = $Q3))"),60000.0)</f>
        <v>60000</v>
      </c>
      <c r="Y3" s="6">
        <f>IFERROR(__xludf.DUMMYFUNCTION("MEDIAN(FILTER(E:E, $I:$I = $Q3))"),278.5)</f>
        <v>278.5</v>
      </c>
      <c r="Z3" s="6">
        <f>IFERROR(__xludf.DUMMYFUNCTION("MEDIAN(FILTER(F:F, $I:$I = $Q3))"),291.0)</f>
        <v>291</v>
      </c>
      <c r="AA3" s="6">
        <f>IFERROR(__xludf.DUMMYFUNCTION("MEDIAN(FILTER(G:G, $I:$I = $Q3))"),30.0)</f>
        <v>30</v>
      </c>
      <c r="AB3" s="6">
        <f>IFERROR(__xludf.DUMMYFUNCTION("MEDIAN(FILTER(H:H, $I:$I = $Q3))"),6.0)</f>
        <v>6</v>
      </c>
      <c r="AC3" s="7">
        <f t="shared" ref="AC3:AG3" si="7">COUNTIFS($I:$I, $Q3, D:D, "&lt;60000") / $R3</f>
        <v>0.4230769231</v>
      </c>
      <c r="AD3" s="7">
        <f t="shared" si="7"/>
        <v>0.8205128205</v>
      </c>
      <c r="AE3" s="7">
        <f t="shared" si="7"/>
        <v>0.8128205128</v>
      </c>
      <c r="AF3" s="7">
        <f t="shared" si="7"/>
        <v>1</v>
      </c>
      <c r="AG3" s="7">
        <f t="shared" si="7"/>
        <v>1</v>
      </c>
    </row>
    <row r="4">
      <c r="A4" s="2" t="str">
        <f>IFERROR(__xludf.DUMMYFUNCTION("""COMPUTED_VALUE"""),"examples/generated/bipartite_10_300")</f>
        <v>examples/generated/bipartite_10_300</v>
      </c>
      <c r="B4" s="4">
        <f>IFERROR(__xludf.DUMMYFUNCTION("""COMPUTED_VALUE"""),3310.0)</f>
        <v>3310</v>
      </c>
      <c r="C4" s="4">
        <f>IFERROR(__xludf.DUMMYFUNCTION("""COMPUTED_VALUE"""),60.0)</f>
        <v>60</v>
      </c>
      <c r="D4" s="4">
        <f>IFERROR(__xludf.DUMMYFUNCTION("""COMPUTED_VALUE"""),70.0)</f>
        <v>70</v>
      </c>
      <c r="E4" s="4">
        <f>IFERROR(__xludf.DUMMYFUNCTION("""COMPUTED_VALUE"""),23.0)</f>
        <v>23</v>
      </c>
      <c r="F4" s="4">
        <f>IFERROR(__xludf.DUMMYFUNCTION("""COMPUTED_VALUE"""),24.0)</f>
        <v>24</v>
      </c>
      <c r="G4" s="4">
        <f>IFERROR(__xludf.DUMMYFUNCTION("""COMPUTED_VALUE"""),1.0)</f>
        <v>1</v>
      </c>
      <c r="H4" s="4">
        <f>IFERROR(__xludf.DUMMYFUNCTION("""COMPUTED_VALUE"""),1.0)</f>
        <v>1</v>
      </c>
      <c r="I4" s="2" t="str">
        <f>IFERROR(__xludf.DUMMYFUNCTION("""COMPUTED_VALUE"""),"generated")</f>
        <v>generated</v>
      </c>
      <c r="J4" s="2">
        <f t="shared" si="2"/>
        <v>11</v>
      </c>
      <c r="K4" s="2">
        <f t="shared" si="3"/>
        <v>5000</v>
      </c>
      <c r="L4" s="2" t="str">
        <f t="shared" si="4"/>
        <v>JP</v>
      </c>
      <c r="M4" s="2" t="str">
        <f>IFERROR(__xludf.DUMMYFUNCTION("""COMPUTED_VALUE"""),"B")</f>
        <v>B</v>
      </c>
      <c r="N4" s="2">
        <f t="shared" si="5"/>
        <v>27</v>
      </c>
      <c r="O4" s="2">
        <f>AVERAGE(F$2:F545)</f>
        <v>11781.23897</v>
      </c>
      <c r="Q4" s="2" t="str">
        <f>IFERROR(__xludf.DUMMYFUNCTION("""COMPUTED_VALUE"""),"regex")</f>
        <v>regex</v>
      </c>
      <c r="R4" s="2">
        <f t="shared" si="6"/>
        <v>74</v>
      </c>
      <c r="S4" s="6">
        <f>IFERROR(__xludf.DUMMYFUNCTION("AVERAGE(FILTER(D:D, $I:$I = $Q4))"),4815.527027027027)</f>
        <v>4815.527027</v>
      </c>
      <c r="T4" s="6">
        <f>IFERROR(__xludf.DUMMYFUNCTION("AVERAGE(FILTER(E:E, $I:$I = $Q4))"),147.75675675675674)</f>
        <v>147.7567568</v>
      </c>
      <c r="U4" s="6">
        <f>IFERROR(__xludf.DUMMYFUNCTION("AVERAGE(FILTER(F:F, $I:$I = $Q4))"),97.54054054054055)</f>
        <v>97.54054054</v>
      </c>
      <c r="V4" s="6">
        <f>IFERROR(__xludf.DUMMYFUNCTION("AVERAGE(FILTER(G:G, $I:$I = $Q4))"),72.0945945945946)</f>
        <v>72.09459459</v>
      </c>
      <c r="W4" s="6">
        <f>IFERROR(__xludf.DUMMYFUNCTION("AVERAGE(FILTER(H:H, $I:$I = $Q4))"),17.2027027027027)</f>
        <v>17.2027027</v>
      </c>
      <c r="X4" s="6">
        <f>IFERROR(__xludf.DUMMYFUNCTION("MEDIAN(FILTER(D:D, $I:$I = $Q4))"),213.0)</f>
        <v>213</v>
      </c>
      <c r="Y4" s="6">
        <f>IFERROR(__xludf.DUMMYFUNCTION("MEDIAN(FILTER(E:E, $I:$I = $Q4))"),4.5)</f>
        <v>4.5</v>
      </c>
      <c r="Z4" s="6">
        <f>IFERROR(__xludf.DUMMYFUNCTION("MEDIAN(FILTER(F:F, $I:$I = $Q4))"),5.0)</f>
        <v>5</v>
      </c>
      <c r="AA4" s="6">
        <f>IFERROR(__xludf.DUMMYFUNCTION("MEDIAN(FILTER(G:G, $I:$I = $Q4))"),9.0)</f>
        <v>9</v>
      </c>
      <c r="AB4" s="6">
        <f>IFERROR(__xludf.DUMMYFUNCTION("MEDIAN(FILTER(H:H, $I:$I = $Q4))"),3.0)</f>
        <v>3</v>
      </c>
      <c r="AC4" s="7">
        <f t="shared" ref="AC4:AG4" si="8">COUNTIFS($I:$I, $Q4, D:D, "&lt;60000") / $R4</f>
        <v>0.9594594595</v>
      </c>
      <c r="AD4" s="7">
        <f t="shared" si="8"/>
        <v>1</v>
      </c>
      <c r="AE4" s="7">
        <f t="shared" si="8"/>
        <v>1</v>
      </c>
      <c r="AF4" s="7">
        <f t="shared" si="8"/>
        <v>1</v>
      </c>
      <c r="AG4" s="7">
        <f t="shared" si="8"/>
        <v>1</v>
      </c>
    </row>
    <row r="5">
      <c r="A5" s="2" t="str">
        <f>IFERROR(__xludf.DUMMYFUNCTION("""COMPUTED_VALUE"""),"examples/generated/unkloop_300")</f>
        <v>examples/generated/unkloop_300</v>
      </c>
      <c r="B5" s="4">
        <f>IFERROR(__xludf.DUMMYFUNCTION("""COMPUTED_VALUE"""),601.0)</f>
        <v>601</v>
      </c>
      <c r="C5" s="4">
        <f>IFERROR(__xludf.DUMMYFUNCTION("""COMPUTED_VALUE"""),60.0)</f>
        <v>60</v>
      </c>
      <c r="D5" s="4">
        <f>IFERROR(__xludf.DUMMYFUNCTION("""COMPUTED_VALUE"""),11.0)</f>
        <v>11</v>
      </c>
      <c r="E5" s="4">
        <f>IFERROR(__xludf.DUMMYFUNCTION("""COMPUTED_VALUE"""),0.0)</f>
        <v>0</v>
      </c>
      <c r="F5" s="4">
        <f>IFERROR(__xludf.DUMMYFUNCTION("""COMPUTED_VALUE"""),1.0)</f>
        <v>1</v>
      </c>
      <c r="G5" s="4">
        <f>IFERROR(__xludf.DUMMYFUNCTION("""COMPUTED_VALUE"""),4.0)</f>
        <v>4</v>
      </c>
      <c r="H5" s="4">
        <f>IFERROR(__xludf.DUMMYFUNCTION("""COMPUTED_VALUE"""),0.0)</f>
        <v>0</v>
      </c>
      <c r="I5" s="2" t="str">
        <f>IFERROR(__xludf.DUMMYFUNCTION("""COMPUTED_VALUE"""),"generated")</f>
        <v>generated</v>
      </c>
      <c r="J5" s="2">
        <f t="shared" si="2"/>
        <v>8</v>
      </c>
      <c r="K5" s="2">
        <f t="shared" si="3"/>
        <v>500</v>
      </c>
      <c r="L5" s="2" t="str">
        <f t="shared" si="4"/>
        <v>P</v>
      </c>
      <c r="M5" s="2" t="str">
        <f>IFERROR(__xludf.DUMMYFUNCTION("""COMPUTED_VALUE"""),"BP")</f>
        <v>BP</v>
      </c>
      <c r="N5" s="2">
        <f t="shared" si="5"/>
        <v>32</v>
      </c>
      <c r="O5" s="2">
        <f>AVERAGE(G$2:G545)</f>
        <v>313.0827206</v>
      </c>
    </row>
    <row r="6">
      <c r="A6" s="2" t="str">
        <f>IFERROR(__xludf.DUMMYFUNCTION("""COMPUTED_VALUE"""),"examples/generated/unkbipartite_300_10")</f>
        <v>examples/generated/unkbipartite_300_10</v>
      </c>
      <c r="B6" s="4">
        <f>IFERROR(__xludf.DUMMYFUNCTION("""COMPUTED_VALUE"""),3610.0)</f>
        <v>3610</v>
      </c>
      <c r="C6" s="4">
        <f>IFERROR(__xludf.DUMMYFUNCTION("""COMPUTED_VALUE"""),60.0)</f>
        <v>60</v>
      </c>
      <c r="D6" s="4">
        <f>IFERROR(__xludf.DUMMYFUNCTION("""COMPUTED_VALUE"""),66.0)</f>
        <v>66</v>
      </c>
      <c r="E6" s="4">
        <f>IFERROR(__xludf.DUMMYFUNCTION("""COMPUTED_VALUE"""),2.0)</f>
        <v>2</v>
      </c>
      <c r="F6" s="4">
        <f>IFERROR(__xludf.DUMMYFUNCTION("""COMPUTED_VALUE"""),3.0)</f>
        <v>3</v>
      </c>
      <c r="G6" s="4">
        <f>IFERROR(__xludf.DUMMYFUNCTION("""COMPUTED_VALUE"""),6.0)</f>
        <v>6</v>
      </c>
      <c r="H6" s="4">
        <f>IFERROR(__xludf.DUMMYFUNCTION("""COMPUTED_VALUE"""),1.0)</f>
        <v>1</v>
      </c>
      <c r="I6" s="2" t="str">
        <f>IFERROR(__xludf.DUMMYFUNCTION("""COMPUTED_VALUE"""),"generated")</f>
        <v>generated</v>
      </c>
      <c r="J6" s="2">
        <f t="shared" si="2"/>
        <v>11</v>
      </c>
      <c r="K6" s="2">
        <f t="shared" si="3"/>
        <v>5000</v>
      </c>
      <c r="L6" s="2" t="str">
        <f t="shared" si="4"/>
        <v>P</v>
      </c>
      <c r="M6" s="2">
        <f>IFERROR(__xludf.DUMMYFUNCTION("""COMPUTED_VALUE"""),0.0)</f>
        <v>0</v>
      </c>
      <c r="N6" s="2">
        <f t="shared" si="5"/>
        <v>20</v>
      </c>
      <c r="O6" s="2">
        <f>AVERAGE(H$2:H545)</f>
        <v>73.91727941</v>
      </c>
      <c r="Q6" s="1" t="s">
        <v>2933</v>
      </c>
      <c r="R6" s="2">
        <f>SUM(R2:R4)</f>
        <v>544</v>
      </c>
    </row>
    <row r="7">
      <c r="A7" s="2" t="str">
        <f>IFERROR(__xludf.DUMMYFUNCTION("""COMPUTED_VALUE"""),"examples/generated/reverseline_1000")</f>
        <v>examples/generated/reverseline_1000</v>
      </c>
      <c r="B7" s="4">
        <f>IFERROR(__xludf.DUMMYFUNCTION("""COMPUTED_VALUE"""),2001.0)</f>
        <v>2001</v>
      </c>
      <c r="C7" s="4">
        <f>IFERROR(__xludf.DUMMYFUNCTION("""COMPUTED_VALUE"""),60.0)</f>
        <v>60</v>
      </c>
      <c r="D7" s="4">
        <f>IFERROR(__xludf.DUMMYFUNCTION("""COMPUTED_VALUE"""),131.0)</f>
        <v>131</v>
      </c>
      <c r="E7" s="4">
        <f>IFERROR(__xludf.DUMMYFUNCTION("""COMPUTED_VALUE"""),94.0)</f>
        <v>94</v>
      </c>
      <c r="F7" s="4">
        <f>IFERROR(__xludf.DUMMYFUNCTION("""COMPUTED_VALUE"""),1.0)</f>
        <v>1</v>
      </c>
      <c r="G7" s="4">
        <f>IFERROR(__xludf.DUMMYFUNCTION("""COMPUTED_VALUE"""),20.0)</f>
        <v>20</v>
      </c>
      <c r="H7" s="4">
        <f>IFERROR(__xludf.DUMMYFUNCTION("""COMPUTED_VALUE"""),5.0)</f>
        <v>5</v>
      </c>
      <c r="I7" s="2" t="str">
        <f>IFERROR(__xludf.DUMMYFUNCTION("""COMPUTED_VALUE"""),"generated")</f>
        <v>generated</v>
      </c>
      <c r="J7" s="2">
        <f t="shared" si="2"/>
        <v>10</v>
      </c>
      <c r="K7" s="2">
        <f t="shared" si="3"/>
        <v>2000</v>
      </c>
      <c r="L7" s="2" t="str">
        <f t="shared" si="4"/>
        <v>B</v>
      </c>
      <c r="M7" s="2" t="str">
        <f>IFERROR(__xludf.DUMMYFUNCTION("""COMPUTED_VALUE"""),"BJP")</f>
        <v>BJP</v>
      </c>
      <c r="N7" s="2">
        <f t="shared" si="5"/>
        <v>3</v>
      </c>
      <c r="V7" s="1" t="s">
        <v>7</v>
      </c>
      <c r="W7" s="1" t="s">
        <v>2934</v>
      </c>
      <c r="X7" s="1" t="s">
        <v>1</v>
      </c>
      <c r="Y7" s="1" t="s">
        <v>2935</v>
      </c>
      <c r="Z7" s="1" t="s">
        <v>2936</v>
      </c>
      <c r="AA7" s="1" t="s">
        <v>2937</v>
      </c>
      <c r="AB7" s="1" t="s">
        <v>2938</v>
      </c>
      <c r="AC7" s="1" t="s">
        <v>2917</v>
      </c>
    </row>
    <row r="8">
      <c r="A8" s="2" t="str">
        <f>IFERROR(__xludf.DUMMYFUNCTION("""COMPUTED_VALUE"""),"examples/generated/loop_300")</f>
        <v>examples/generated/loop_300</v>
      </c>
      <c r="B8" s="4">
        <f>IFERROR(__xludf.DUMMYFUNCTION("""COMPUTED_VALUE"""),600.0)</f>
        <v>600</v>
      </c>
      <c r="C8" s="4">
        <f>IFERROR(__xludf.DUMMYFUNCTION("""COMPUTED_VALUE"""),60.0)</f>
        <v>60</v>
      </c>
      <c r="D8" s="4">
        <f>IFERROR(__xludf.DUMMYFUNCTION("""COMPUTED_VALUE"""),11.0)</f>
        <v>11</v>
      </c>
      <c r="E8" s="4">
        <f>IFERROR(__xludf.DUMMYFUNCTION("""COMPUTED_VALUE"""),0.0)</f>
        <v>0</v>
      </c>
      <c r="F8" s="4">
        <f>IFERROR(__xludf.DUMMYFUNCTION("""COMPUTED_VALUE"""),1.0)</f>
        <v>1</v>
      </c>
      <c r="G8" s="4">
        <f>IFERROR(__xludf.DUMMYFUNCTION("""COMPUTED_VALUE"""),4.0)</f>
        <v>4</v>
      </c>
      <c r="H8" s="4">
        <f>IFERROR(__xludf.DUMMYFUNCTION("""COMPUTED_VALUE"""),0.0)</f>
        <v>0</v>
      </c>
      <c r="I8" s="2" t="str">
        <f>IFERROR(__xludf.DUMMYFUNCTION("""COMPUTED_VALUE"""),"generated")</f>
        <v>generated</v>
      </c>
      <c r="J8" s="2">
        <f t="shared" si="2"/>
        <v>8</v>
      </c>
      <c r="K8" s="2">
        <f t="shared" si="3"/>
        <v>500</v>
      </c>
      <c r="L8" s="2" t="str">
        <f t="shared" si="4"/>
        <v>P</v>
      </c>
      <c r="U8" s="1">
        <v>8.0</v>
      </c>
      <c r="V8" s="1">
        <v>500.0</v>
      </c>
      <c r="W8" s="6">
        <f t="shared" ref="W8:W19" si="10">10^(U8/3)</f>
        <v>464.1588834</v>
      </c>
      <c r="X8" s="6">
        <f t="shared" ref="X8:AB8" si="9">IF($AC8 = 0, "--", IF(AVERAGEIF($K:$K, $V8, D:D) &lt; 1, 1, AVERAGEIF($K:$K, $V8, D:D)))</f>
        <v>13.71794872</v>
      </c>
      <c r="Y8" s="6">
        <f t="shared" si="9"/>
        <v>1</v>
      </c>
      <c r="Z8" s="6">
        <f t="shared" si="9"/>
        <v>1</v>
      </c>
      <c r="AA8" s="6">
        <f t="shared" si="9"/>
        <v>1.487179487</v>
      </c>
      <c r="AB8" s="6">
        <f t="shared" si="9"/>
        <v>1</v>
      </c>
      <c r="AC8" s="2">
        <f t="shared" ref="AC8:AC19" si="12">COUNTIF(K:K,V8)</f>
        <v>39</v>
      </c>
      <c r="AD8" s="2">
        <f t="shared" ref="AD8:AD19" si="13">Z8/AB8</f>
        <v>1</v>
      </c>
    </row>
    <row r="9">
      <c r="A9" s="2" t="str">
        <f>IFERROR(__xludf.DUMMYFUNCTION("""COMPUTED_VALUE"""),"examples/generated/reverseunkline_3000")</f>
        <v>examples/generated/reverseunkline_3000</v>
      </c>
      <c r="B9" s="4">
        <f>IFERROR(__xludf.DUMMYFUNCTION("""COMPUTED_VALUE"""),6000.0)</f>
        <v>6000</v>
      </c>
      <c r="C9" s="4">
        <f>IFERROR(__xludf.DUMMYFUNCTION("""COMPUTED_VALUE"""),60.0)</f>
        <v>60</v>
      </c>
      <c r="D9" s="4">
        <f>IFERROR(__xludf.DUMMYFUNCTION("""COMPUTED_VALUE"""),1202.0)</f>
        <v>1202</v>
      </c>
      <c r="E9" s="4">
        <f>IFERROR(__xludf.DUMMYFUNCTION("""COMPUTED_VALUE"""),867.0)</f>
        <v>867</v>
      </c>
      <c r="F9" s="4">
        <f>IFERROR(__xludf.DUMMYFUNCTION("""COMPUTED_VALUE"""),3.0)</f>
        <v>3</v>
      </c>
      <c r="G9" s="4">
        <f>IFERROR(__xludf.DUMMYFUNCTION("""COMPUTED_VALUE"""),74.0)</f>
        <v>74</v>
      </c>
      <c r="H9" s="4">
        <f>IFERROR(__xludf.DUMMYFUNCTION("""COMPUTED_VALUE"""),17.0)</f>
        <v>17</v>
      </c>
      <c r="I9" s="2" t="str">
        <f>IFERROR(__xludf.DUMMYFUNCTION("""COMPUTED_VALUE"""),"generated")</f>
        <v>generated</v>
      </c>
      <c r="J9" s="2">
        <f t="shared" si="2"/>
        <v>11</v>
      </c>
      <c r="K9" s="2">
        <f t="shared" si="3"/>
        <v>5000</v>
      </c>
      <c r="L9" s="2" t="str">
        <f t="shared" si="4"/>
        <v>B</v>
      </c>
      <c r="U9" s="1">
        <v>9.0</v>
      </c>
      <c r="V9" s="1">
        <v>1000.0</v>
      </c>
      <c r="W9" s="6">
        <f t="shared" si="10"/>
        <v>1000</v>
      </c>
      <c r="X9" s="6">
        <f t="shared" ref="X9:AB9" si="11">IF($AC9 = 0, "--", IF(AVERAGEIF($K:$K, $V9, D:D) &lt; 1, 1, AVERAGEIF($K:$K, $V9, D:D)))</f>
        <v>161.8928571</v>
      </c>
      <c r="Y9" s="6">
        <f t="shared" si="11"/>
        <v>1.428571429</v>
      </c>
      <c r="Z9" s="6">
        <f t="shared" si="11"/>
        <v>2.642857143</v>
      </c>
      <c r="AA9" s="6">
        <f t="shared" si="11"/>
        <v>2.017857143</v>
      </c>
      <c r="AB9" s="6">
        <f t="shared" si="11"/>
        <v>1</v>
      </c>
      <c r="AC9" s="2">
        <f t="shared" si="12"/>
        <v>56</v>
      </c>
      <c r="AD9" s="2">
        <f t="shared" si="13"/>
        <v>2.642857143</v>
      </c>
    </row>
    <row r="10">
      <c r="A10" s="2" t="str">
        <f>IFERROR(__xludf.DUMMYFUNCTION("""COMPUTED_VALUE"""),"examples/generated/bipartite_1000_10")</f>
        <v>examples/generated/bipartite_1000_10</v>
      </c>
      <c r="B10" s="4">
        <f>IFERROR(__xludf.DUMMYFUNCTION("""COMPUTED_VALUE"""),11010.0)</f>
        <v>11010</v>
      </c>
      <c r="C10" s="4">
        <f>IFERROR(__xludf.DUMMYFUNCTION("""COMPUTED_VALUE"""),60.0)</f>
        <v>60</v>
      </c>
      <c r="D10" s="4">
        <f>IFERROR(__xludf.DUMMYFUNCTION("""COMPUTED_VALUE"""),671.0)</f>
        <v>671</v>
      </c>
      <c r="E10" s="4">
        <f>IFERROR(__xludf.DUMMYFUNCTION("""COMPUTED_VALUE"""),9.0)</f>
        <v>9</v>
      </c>
      <c r="F10" s="4">
        <f>IFERROR(__xludf.DUMMYFUNCTION("""COMPUTED_VALUE"""),11.0)</f>
        <v>11</v>
      </c>
      <c r="G10" s="4">
        <f>IFERROR(__xludf.DUMMYFUNCTION("""COMPUTED_VALUE"""),57.0)</f>
        <v>57</v>
      </c>
      <c r="H10" s="4">
        <f>IFERROR(__xludf.DUMMYFUNCTION("""COMPUTED_VALUE"""),4.0)</f>
        <v>4</v>
      </c>
      <c r="I10" s="2" t="str">
        <f>IFERROR(__xludf.DUMMYFUNCTION("""COMPUTED_VALUE"""),"generated")</f>
        <v>generated</v>
      </c>
      <c r="J10" s="2">
        <f t="shared" si="2"/>
        <v>12</v>
      </c>
      <c r="K10" s="2">
        <f t="shared" si="3"/>
        <v>10000</v>
      </c>
      <c r="L10" s="2" t="str">
        <f t="shared" si="4"/>
        <v>P</v>
      </c>
      <c r="U10" s="1">
        <v>10.0</v>
      </c>
      <c r="V10" s="1">
        <v>2000.0</v>
      </c>
      <c r="W10" s="6">
        <f t="shared" si="10"/>
        <v>2154.43469</v>
      </c>
      <c r="X10" s="6">
        <f t="shared" ref="X10:AB10" si="14">IF($AC10 = 0, "--", IF(AVERAGEIF($K:$K, $V10, D:D) &lt; 1, 1, AVERAGEIF($K:$K, $V10, D:D)))</f>
        <v>2079.709677</v>
      </c>
      <c r="Y10" s="6">
        <f t="shared" si="14"/>
        <v>11.87096774</v>
      </c>
      <c r="Z10" s="6">
        <f t="shared" si="14"/>
        <v>9.080645161</v>
      </c>
      <c r="AA10" s="6">
        <f t="shared" si="14"/>
        <v>7.532258065</v>
      </c>
      <c r="AB10" s="6">
        <f t="shared" si="14"/>
        <v>1</v>
      </c>
      <c r="AC10" s="2">
        <f t="shared" si="12"/>
        <v>62</v>
      </c>
      <c r="AD10" s="2">
        <f t="shared" si="13"/>
        <v>9.080645161</v>
      </c>
    </row>
    <row r="11">
      <c r="A11" s="2" t="str">
        <f>IFERROR(__xludf.DUMMYFUNCTION("""COMPUTED_VALUE"""),"examples/generated/complete_1000")</f>
        <v>examples/generated/complete_1000</v>
      </c>
      <c r="B11" s="4">
        <f>IFERROR(__xludf.DUMMYFUNCTION("""COMPUTED_VALUE"""),1000000.0)</f>
        <v>1000000</v>
      </c>
      <c r="C11" s="4">
        <f>IFERROR(__xludf.DUMMYFUNCTION("""COMPUTED_VALUE"""),60.0)</f>
        <v>60</v>
      </c>
      <c r="D11" s="4">
        <f>IFERROR(__xludf.DUMMYFUNCTION("""COMPUTED_VALUE"""),60000.0)</f>
        <v>60000</v>
      </c>
      <c r="E11" s="4">
        <f>IFERROR(__xludf.DUMMYFUNCTION("""COMPUTED_VALUE"""),15261.0)</f>
        <v>15261</v>
      </c>
      <c r="F11" s="4">
        <f>IFERROR(__xludf.DUMMYFUNCTION("""COMPUTED_VALUE"""),60000.0)</f>
        <v>60000</v>
      </c>
      <c r="G11" s="4">
        <f>IFERROR(__xludf.DUMMYFUNCTION("""COMPUTED_VALUE"""),975.0)</f>
        <v>975</v>
      </c>
      <c r="H11" s="4">
        <f>IFERROR(__xludf.DUMMYFUNCTION("""COMPUTED_VALUE"""),472.0)</f>
        <v>472</v>
      </c>
      <c r="I11" s="2" t="str">
        <f>IFERROR(__xludf.DUMMYFUNCTION("""COMPUTED_VALUE"""),"generated")</f>
        <v>generated</v>
      </c>
      <c r="J11" s="2">
        <f t="shared" si="2"/>
        <v>18</v>
      </c>
      <c r="K11" s="2">
        <f t="shared" si="3"/>
        <v>1000000</v>
      </c>
      <c r="L11" s="2" t="str">
        <f t="shared" si="4"/>
        <v>P</v>
      </c>
      <c r="U11" s="1">
        <v>11.0</v>
      </c>
      <c r="V11" s="1">
        <v>5000.0</v>
      </c>
      <c r="W11" s="6">
        <f t="shared" si="10"/>
        <v>4641.588834</v>
      </c>
      <c r="X11" s="6">
        <f t="shared" ref="X11:AB11" si="15">IF($AC11 = 0, "--", IF(AVERAGEIF($K:$K, $V11, D:D) &lt; 1, 1, AVERAGEIF($K:$K, $V11, D:D)))</f>
        <v>3487.333333</v>
      </c>
      <c r="Y11" s="6">
        <f t="shared" si="15"/>
        <v>79.52941176</v>
      </c>
      <c r="Z11" s="6">
        <f t="shared" si="15"/>
        <v>28.62745098</v>
      </c>
      <c r="AA11" s="6">
        <f t="shared" si="15"/>
        <v>23.31372549</v>
      </c>
      <c r="AB11" s="6">
        <f t="shared" si="15"/>
        <v>3.058823529</v>
      </c>
      <c r="AC11" s="2">
        <f t="shared" si="12"/>
        <v>51</v>
      </c>
      <c r="AD11" s="2">
        <f t="shared" si="13"/>
        <v>9.358974359</v>
      </c>
    </row>
    <row r="12">
      <c r="A12" s="2" t="str">
        <f>IFERROR(__xludf.DUMMYFUNCTION("""COMPUTED_VALUE"""),"examples/generated/revcompleteacyclic_100")</f>
        <v>examples/generated/revcompleteacyclic_100</v>
      </c>
      <c r="B12" s="4">
        <f>IFERROR(__xludf.DUMMYFUNCTION("""COMPUTED_VALUE"""),5050.0)</f>
        <v>5050</v>
      </c>
      <c r="C12" s="4">
        <f>IFERROR(__xludf.DUMMYFUNCTION("""COMPUTED_VALUE"""),60.0)</f>
        <v>60</v>
      </c>
      <c r="D12" s="4">
        <f>IFERROR(__xludf.DUMMYFUNCTION("""COMPUTED_VALUE"""),1.0)</f>
        <v>1</v>
      </c>
      <c r="E12" s="4">
        <f>IFERROR(__xludf.DUMMYFUNCTION("""COMPUTED_VALUE"""),11.0)</f>
        <v>11</v>
      </c>
      <c r="F12" s="4">
        <f>IFERROR(__xludf.DUMMYFUNCTION("""COMPUTED_VALUE"""),3.0)</f>
        <v>3</v>
      </c>
      <c r="G12" s="4">
        <f>IFERROR(__xludf.DUMMYFUNCTION("""COMPUTED_VALUE"""),1.0)</f>
        <v>1</v>
      </c>
      <c r="H12" s="4">
        <f>IFERROR(__xludf.DUMMYFUNCTION("""COMPUTED_VALUE"""),1.0)</f>
        <v>1</v>
      </c>
      <c r="I12" s="2" t="str">
        <f>IFERROR(__xludf.DUMMYFUNCTION("""COMPUTED_VALUE"""),"generated")</f>
        <v>generated</v>
      </c>
      <c r="J12" s="2">
        <f t="shared" si="2"/>
        <v>11</v>
      </c>
      <c r="K12" s="2">
        <f t="shared" si="3"/>
        <v>5000</v>
      </c>
      <c r="L12" s="2" t="str">
        <f t="shared" si="4"/>
        <v>JP</v>
      </c>
      <c r="U12" s="1">
        <v>12.0</v>
      </c>
      <c r="V12" s="1">
        <v>10000.0</v>
      </c>
      <c r="W12" s="6">
        <f t="shared" si="10"/>
        <v>10000</v>
      </c>
      <c r="X12" s="6">
        <f t="shared" ref="X12:AB12" si="16">IF($AC12 = 0, "--", IF(AVERAGEIF($K:$K, $V12, D:D) &lt; 1, 1, AVERAGEIF($K:$K, $V12, D:D)))</f>
        <v>40751.7193</v>
      </c>
      <c r="Y12" s="6">
        <f t="shared" si="16"/>
        <v>147.9298246</v>
      </c>
      <c r="Z12" s="6">
        <f t="shared" si="16"/>
        <v>219.4035088</v>
      </c>
      <c r="AA12" s="6">
        <f t="shared" si="16"/>
        <v>31.45614035</v>
      </c>
      <c r="AB12" s="6">
        <f t="shared" si="16"/>
        <v>6.526315789</v>
      </c>
      <c r="AC12" s="2">
        <f t="shared" si="12"/>
        <v>57</v>
      </c>
      <c r="AD12" s="2">
        <f t="shared" si="13"/>
        <v>33.61827957</v>
      </c>
    </row>
    <row r="13">
      <c r="A13" s="2" t="str">
        <f>IFERROR(__xludf.DUMMYFUNCTION("""COMPUTED_VALUE"""),"examples/generated/unkline_3000")</f>
        <v>examples/generated/unkline_3000</v>
      </c>
      <c r="B13" s="4">
        <f>IFERROR(__xludf.DUMMYFUNCTION("""COMPUTED_VALUE"""),6000.0)</f>
        <v>6000</v>
      </c>
      <c r="C13" s="4">
        <f>IFERROR(__xludf.DUMMYFUNCTION("""COMPUTED_VALUE"""),60.0)</f>
        <v>60</v>
      </c>
      <c r="D13" s="4">
        <f>IFERROR(__xludf.DUMMYFUNCTION("""COMPUTED_VALUE"""),1199.0)</f>
        <v>1199</v>
      </c>
      <c r="E13" s="4">
        <f>IFERROR(__xludf.DUMMYFUNCTION("""COMPUTED_VALUE"""),3.0)</f>
        <v>3</v>
      </c>
      <c r="F13" s="4">
        <f>IFERROR(__xludf.DUMMYFUNCTION("""COMPUTED_VALUE"""),16.0)</f>
        <v>16</v>
      </c>
      <c r="G13" s="4">
        <f>IFERROR(__xludf.DUMMYFUNCTION("""COMPUTED_VALUE"""),73.0)</f>
        <v>73</v>
      </c>
      <c r="H13" s="4">
        <f>IFERROR(__xludf.DUMMYFUNCTION("""COMPUTED_VALUE"""),2.0)</f>
        <v>2</v>
      </c>
      <c r="I13" s="2" t="str">
        <f>IFERROR(__xludf.DUMMYFUNCTION("""COMPUTED_VALUE"""),"generated")</f>
        <v>generated</v>
      </c>
      <c r="J13" s="2">
        <f t="shared" si="2"/>
        <v>11</v>
      </c>
      <c r="K13" s="2">
        <f t="shared" si="3"/>
        <v>5000</v>
      </c>
      <c r="L13" s="2" t="str">
        <f t="shared" si="4"/>
        <v>P</v>
      </c>
      <c r="U13" s="1">
        <v>13.0</v>
      </c>
      <c r="V13" s="1">
        <v>20000.0</v>
      </c>
      <c r="W13" s="6">
        <f t="shared" si="10"/>
        <v>21544.3469</v>
      </c>
      <c r="X13" s="6">
        <f t="shared" ref="X13:AB13" si="17">IF($AC13 = 0, "--", IF(AVERAGEIF($K:$K, $V13, D:D) &lt; 1, 1, AVERAGEIF($K:$K, $V13, D:D)))</f>
        <v>39893.03704</v>
      </c>
      <c r="Y13" s="6">
        <f t="shared" si="17"/>
        <v>1170.833333</v>
      </c>
      <c r="Z13" s="6">
        <f t="shared" si="17"/>
        <v>711.5185185</v>
      </c>
      <c r="AA13" s="6">
        <f t="shared" si="17"/>
        <v>106.8148148</v>
      </c>
      <c r="AB13" s="6">
        <f t="shared" si="17"/>
        <v>19.87037037</v>
      </c>
      <c r="AC13" s="2">
        <f t="shared" si="12"/>
        <v>54</v>
      </c>
      <c r="AD13" s="2">
        <f t="shared" si="13"/>
        <v>35.80801491</v>
      </c>
    </row>
    <row r="14">
      <c r="A14" s="2" t="str">
        <f>IFERROR(__xludf.DUMMYFUNCTION("""COMPUTED_VALUE"""),"examples/generated/reverseunkloop_300")</f>
        <v>examples/generated/reverseunkloop_300</v>
      </c>
      <c r="B14" s="4">
        <f>IFERROR(__xludf.DUMMYFUNCTION("""COMPUTED_VALUE"""),601.0)</f>
        <v>601</v>
      </c>
      <c r="C14" s="4">
        <f>IFERROR(__xludf.DUMMYFUNCTION("""COMPUTED_VALUE"""),60.0)</f>
        <v>60</v>
      </c>
      <c r="D14" s="4">
        <f>IFERROR(__xludf.DUMMYFUNCTION("""COMPUTED_VALUE"""),11.0)</f>
        <v>11</v>
      </c>
      <c r="E14" s="4">
        <f>IFERROR(__xludf.DUMMYFUNCTION("""COMPUTED_VALUE"""),8.0)</f>
        <v>8</v>
      </c>
      <c r="F14" s="4">
        <f>IFERROR(__xludf.DUMMYFUNCTION("""COMPUTED_VALUE"""),0.0)</f>
        <v>0</v>
      </c>
      <c r="G14" s="4">
        <f>IFERROR(__xludf.DUMMYFUNCTION("""COMPUTED_VALUE"""),4.0)</f>
        <v>4</v>
      </c>
      <c r="H14" s="4">
        <f>IFERROR(__xludf.DUMMYFUNCTION("""COMPUTED_VALUE"""),1.0)</f>
        <v>1</v>
      </c>
      <c r="I14" s="2" t="str">
        <f>IFERROR(__xludf.DUMMYFUNCTION("""COMPUTED_VALUE"""),"generated")</f>
        <v>generated</v>
      </c>
      <c r="J14" s="2">
        <f t="shared" si="2"/>
        <v>8</v>
      </c>
      <c r="K14" s="2">
        <f t="shared" si="3"/>
        <v>500</v>
      </c>
      <c r="L14" s="2" t="str">
        <f t="shared" si="4"/>
        <v>B</v>
      </c>
      <c r="U14" s="1">
        <v>14.0</v>
      </c>
      <c r="V14" s="1">
        <v>50000.0</v>
      </c>
      <c r="W14" s="6">
        <f t="shared" si="10"/>
        <v>46415.88834</v>
      </c>
      <c r="X14" s="6">
        <f t="shared" ref="X14:AB14" si="18">IF($AC14 = 0, "--", IF(AVERAGEIF($K:$K, $V14, D:D) &lt; 1, 1, AVERAGEIF($K:$K, $V14, D:D)))</f>
        <v>43240.85455</v>
      </c>
      <c r="Y14" s="6">
        <f t="shared" si="18"/>
        <v>5267.545455</v>
      </c>
      <c r="Z14" s="6">
        <f t="shared" si="18"/>
        <v>2260.218182</v>
      </c>
      <c r="AA14" s="6">
        <f t="shared" si="18"/>
        <v>287.3090909</v>
      </c>
      <c r="AB14" s="6">
        <f t="shared" si="18"/>
        <v>39</v>
      </c>
      <c r="AC14" s="2">
        <f t="shared" si="12"/>
        <v>55</v>
      </c>
      <c r="AD14" s="2">
        <f t="shared" si="13"/>
        <v>57.95431235</v>
      </c>
    </row>
    <row r="15">
      <c r="A15" s="2" t="str">
        <f>IFERROR(__xludf.DUMMYFUNCTION("""COMPUTED_VALUE"""),"examples/generated/unkcompleteacyclic_300")</f>
        <v>examples/generated/unkcompleteacyclic_300</v>
      </c>
      <c r="B15" s="4">
        <f>IFERROR(__xludf.DUMMYFUNCTION("""COMPUTED_VALUE"""),45450.0)</f>
        <v>45450</v>
      </c>
      <c r="C15" s="4">
        <f>IFERROR(__xludf.DUMMYFUNCTION("""COMPUTED_VALUE"""),60.0)</f>
        <v>60</v>
      </c>
      <c r="D15" s="4">
        <f>IFERROR(__xludf.DUMMYFUNCTION("""COMPUTED_VALUE"""),14358.0)</f>
        <v>14358</v>
      </c>
      <c r="E15" s="4">
        <f>IFERROR(__xludf.DUMMYFUNCTION("""COMPUTED_VALUE"""),12.0)</f>
        <v>12</v>
      </c>
      <c r="F15" s="4">
        <f>IFERROR(__xludf.DUMMYFUNCTION("""COMPUTED_VALUE"""),20839.0)</f>
        <v>20839</v>
      </c>
      <c r="G15" s="4">
        <f>IFERROR(__xludf.DUMMYFUNCTION("""COMPUTED_VALUE"""),15.0)</f>
        <v>15</v>
      </c>
      <c r="H15" s="4">
        <f>IFERROR(__xludf.DUMMYFUNCTION("""COMPUTED_VALUE"""),9.0)</f>
        <v>9</v>
      </c>
      <c r="I15" s="2" t="str">
        <f>IFERROR(__xludf.DUMMYFUNCTION("""COMPUTED_VALUE"""),"generated")</f>
        <v>generated</v>
      </c>
      <c r="J15" s="2">
        <f t="shared" si="2"/>
        <v>14</v>
      </c>
      <c r="K15" s="2">
        <f t="shared" si="3"/>
        <v>50000</v>
      </c>
      <c r="L15" s="2" t="str">
        <f t="shared" si="4"/>
        <v>P</v>
      </c>
      <c r="U15" s="1">
        <v>15.0</v>
      </c>
      <c r="V15" s="1">
        <v>100000.0</v>
      </c>
      <c r="W15" s="6">
        <f t="shared" si="10"/>
        <v>100000</v>
      </c>
      <c r="X15" s="6">
        <f t="shared" ref="X15:AB15" si="19">IF($AC15 = 0, "--", IF(AVERAGEIF($K:$K, $V15, D:D) &lt; 1, 1, AVERAGEIF($K:$K, $V15, D:D)))</f>
        <v>53327.89583</v>
      </c>
      <c r="Y15" s="6">
        <f t="shared" si="19"/>
        <v>13789.375</v>
      </c>
      <c r="Z15" s="6">
        <f t="shared" si="19"/>
        <v>23533.5</v>
      </c>
      <c r="AA15" s="6">
        <f t="shared" si="19"/>
        <v>216.6458333</v>
      </c>
      <c r="AB15" s="6">
        <f t="shared" si="19"/>
        <v>44.16666667</v>
      </c>
      <c r="AC15" s="2">
        <f t="shared" si="12"/>
        <v>48</v>
      </c>
      <c r="AD15" s="2">
        <f t="shared" si="13"/>
        <v>532.8339623</v>
      </c>
    </row>
    <row r="16">
      <c r="A16" s="2" t="str">
        <f>IFERROR(__xludf.DUMMYFUNCTION("""COMPUTED_VALUE"""),"examples/generated/reverseunkline_10000")</f>
        <v>examples/generated/reverseunkline_10000</v>
      </c>
      <c r="B16" s="4">
        <f>IFERROR(__xludf.DUMMYFUNCTION("""COMPUTED_VALUE"""),20000.0)</f>
        <v>20000</v>
      </c>
      <c r="C16" s="4">
        <f>IFERROR(__xludf.DUMMYFUNCTION("""COMPUTED_VALUE"""),60.0)</f>
        <v>60</v>
      </c>
      <c r="D16" s="4">
        <f>IFERROR(__xludf.DUMMYFUNCTION("""COMPUTED_VALUE"""),13945.0)</f>
        <v>13945</v>
      </c>
      <c r="E16" s="4">
        <f>IFERROR(__xludf.DUMMYFUNCTION("""COMPUTED_VALUE"""),10000.0)</f>
        <v>10000</v>
      </c>
      <c r="F16" s="4">
        <f>IFERROR(__xludf.DUMMYFUNCTION("""COMPUTED_VALUE"""),11.0)</f>
        <v>11</v>
      </c>
      <c r="G16" s="4">
        <f>IFERROR(__xludf.DUMMYFUNCTION("""COMPUTED_VALUE"""),311.0)</f>
        <v>311</v>
      </c>
      <c r="H16" s="4">
        <f>IFERROR(__xludf.DUMMYFUNCTION("""COMPUTED_VALUE"""),66.0)</f>
        <v>66</v>
      </c>
      <c r="I16" s="2" t="str">
        <f>IFERROR(__xludf.DUMMYFUNCTION("""COMPUTED_VALUE"""),"generated")</f>
        <v>generated</v>
      </c>
      <c r="J16" s="2">
        <f t="shared" si="2"/>
        <v>13</v>
      </c>
      <c r="K16" s="2">
        <f t="shared" si="3"/>
        <v>20000</v>
      </c>
      <c r="L16" s="2" t="str">
        <f t="shared" si="4"/>
        <v>B</v>
      </c>
      <c r="U16" s="1">
        <v>16.0</v>
      </c>
      <c r="V16" s="1">
        <v>200000.0</v>
      </c>
      <c r="W16" s="6">
        <f t="shared" si="10"/>
        <v>215443.469</v>
      </c>
      <c r="X16" s="6">
        <f t="shared" ref="X16:AB16" si="20">IF($AC16 = 0, "--", IF(AVERAGEIF($K:$K, $V16, D:D) &lt; 1, 1, AVERAGEIF($K:$K, $V16, D:D)))</f>
        <v>55819.32075</v>
      </c>
      <c r="Y16" s="6">
        <f t="shared" si="20"/>
        <v>20062.33962</v>
      </c>
      <c r="Z16" s="6">
        <f t="shared" si="20"/>
        <v>22749</v>
      </c>
      <c r="AA16" s="6">
        <f t="shared" si="20"/>
        <v>1261.037736</v>
      </c>
      <c r="AB16" s="6">
        <f t="shared" si="20"/>
        <v>183.5849057</v>
      </c>
      <c r="AC16" s="2">
        <f t="shared" si="12"/>
        <v>53</v>
      </c>
      <c r="AD16" s="2">
        <f t="shared" si="13"/>
        <v>123.9154162</v>
      </c>
    </row>
    <row r="17">
      <c r="A17" s="2" t="str">
        <f>IFERROR(__xludf.DUMMYFUNCTION("""COMPUTED_VALUE"""),"examples/generated/reverseloop_300")</f>
        <v>examples/generated/reverseloop_300</v>
      </c>
      <c r="B17" s="4">
        <f>IFERROR(__xludf.DUMMYFUNCTION("""COMPUTED_VALUE"""),600.0)</f>
        <v>600</v>
      </c>
      <c r="C17" s="4">
        <f>IFERROR(__xludf.DUMMYFUNCTION("""COMPUTED_VALUE"""),60.0)</f>
        <v>60</v>
      </c>
      <c r="D17" s="4">
        <f>IFERROR(__xludf.DUMMYFUNCTION("""COMPUTED_VALUE"""),11.0)</f>
        <v>11</v>
      </c>
      <c r="E17" s="4">
        <f>IFERROR(__xludf.DUMMYFUNCTION("""COMPUTED_VALUE"""),8.0)</f>
        <v>8</v>
      </c>
      <c r="F17" s="4">
        <f>IFERROR(__xludf.DUMMYFUNCTION("""COMPUTED_VALUE"""),0.0)</f>
        <v>0</v>
      </c>
      <c r="G17" s="4">
        <f>IFERROR(__xludf.DUMMYFUNCTION("""COMPUTED_VALUE"""),4.0)</f>
        <v>4</v>
      </c>
      <c r="H17" s="4">
        <f>IFERROR(__xludf.DUMMYFUNCTION("""COMPUTED_VALUE"""),1.0)</f>
        <v>1</v>
      </c>
      <c r="I17" s="2" t="str">
        <f>IFERROR(__xludf.DUMMYFUNCTION("""COMPUTED_VALUE"""),"generated")</f>
        <v>generated</v>
      </c>
      <c r="J17" s="2">
        <f t="shared" si="2"/>
        <v>8</v>
      </c>
      <c r="K17" s="2">
        <f t="shared" si="3"/>
        <v>500</v>
      </c>
      <c r="L17" s="2" t="str">
        <f t="shared" si="4"/>
        <v>B</v>
      </c>
      <c r="U17" s="1">
        <v>17.0</v>
      </c>
      <c r="V17" s="1">
        <v>500000.0</v>
      </c>
      <c r="W17" s="6">
        <f t="shared" si="10"/>
        <v>464158.8834</v>
      </c>
      <c r="X17" s="6">
        <f t="shared" ref="X17:AB17" si="21">IF($AC17 = 0, "--", IF(AVERAGEIF($K:$K, $V17, D:D) &lt; 1, 1, AVERAGEIF($K:$K, $V17, D:D)))</f>
        <v>53118.76</v>
      </c>
      <c r="Y17" s="6">
        <f t="shared" si="21"/>
        <v>49017.28</v>
      </c>
      <c r="Z17" s="6">
        <f t="shared" si="21"/>
        <v>52827.92</v>
      </c>
      <c r="AA17" s="6">
        <f t="shared" si="21"/>
        <v>1186.88</v>
      </c>
      <c r="AB17" s="6">
        <f t="shared" si="21"/>
        <v>183.6</v>
      </c>
      <c r="AC17" s="2">
        <f t="shared" si="12"/>
        <v>25</v>
      </c>
      <c r="AD17" s="2">
        <f t="shared" si="13"/>
        <v>287.7337691</v>
      </c>
    </row>
    <row r="18">
      <c r="A18" s="2" t="str">
        <f>IFERROR(__xludf.DUMMYFUNCTION("""COMPUTED_VALUE"""),"examples/generated/unkloop_30000")</f>
        <v>examples/generated/unkloop_30000</v>
      </c>
      <c r="B18" s="4">
        <f>IFERROR(__xludf.DUMMYFUNCTION("""COMPUTED_VALUE"""),60001.0)</f>
        <v>60001</v>
      </c>
      <c r="C18" s="4">
        <f>IFERROR(__xludf.DUMMYFUNCTION("""COMPUTED_VALUE"""),60.0)</f>
        <v>60</v>
      </c>
      <c r="D18" s="4">
        <f>IFERROR(__xludf.DUMMYFUNCTION("""COMPUTED_VALUE"""),60000.0)</f>
        <v>60000</v>
      </c>
      <c r="E18" s="4">
        <f>IFERROR(__xludf.DUMMYFUNCTION("""COMPUTED_VALUE"""),58.0)</f>
        <v>58</v>
      </c>
      <c r="F18" s="4">
        <f>IFERROR(__xludf.DUMMYFUNCTION("""COMPUTED_VALUE"""),485.0)</f>
        <v>485</v>
      </c>
      <c r="G18" s="4">
        <f>IFERROR(__xludf.DUMMYFUNCTION("""COMPUTED_VALUE"""),1094.0)</f>
        <v>1094</v>
      </c>
      <c r="H18" s="4">
        <f>IFERROR(__xludf.DUMMYFUNCTION("""COMPUTED_VALUE"""),27.0)</f>
        <v>27</v>
      </c>
      <c r="I18" s="2" t="str">
        <f>IFERROR(__xludf.DUMMYFUNCTION("""COMPUTED_VALUE"""),"generated")</f>
        <v>generated</v>
      </c>
      <c r="J18" s="2">
        <f t="shared" si="2"/>
        <v>14</v>
      </c>
      <c r="K18" s="2">
        <f t="shared" si="3"/>
        <v>50000</v>
      </c>
      <c r="L18" s="2" t="str">
        <f t="shared" si="4"/>
        <v>P</v>
      </c>
      <c r="U18" s="1">
        <v>18.0</v>
      </c>
      <c r="V18" s="1">
        <v>1000000.0</v>
      </c>
      <c r="W18" s="6">
        <f t="shared" si="10"/>
        <v>1000000</v>
      </c>
      <c r="X18" s="6">
        <f t="shared" ref="X18:AB18" si="22">IF($AC18 = 0, "--", IF(AVERAGEIF($K:$K, $V18, D:D) &lt; 1, 1, AVERAGEIF($K:$K, $V18, D:D)))</f>
        <v>60000</v>
      </c>
      <c r="Y18" s="6">
        <f t="shared" si="22"/>
        <v>53588.58333</v>
      </c>
      <c r="Z18" s="6">
        <f t="shared" si="22"/>
        <v>57315.70833</v>
      </c>
      <c r="AA18" s="6">
        <f t="shared" si="22"/>
        <v>932.625</v>
      </c>
      <c r="AB18" s="6">
        <f t="shared" si="22"/>
        <v>369.0833333</v>
      </c>
      <c r="AC18" s="2">
        <f t="shared" si="12"/>
        <v>24</v>
      </c>
      <c r="AD18" s="2">
        <f t="shared" si="13"/>
        <v>155.2920524</v>
      </c>
    </row>
    <row r="19">
      <c r="A19" s="2" t="str">
        <f>IFERROR(__xludf.DUMMYFUNCTION("""COMPUTED_VALUE"""),"examples/generated/unkbipartite_10_1000")</f>
        <v>examples/generated/unkbipartite_10_1000</v>
      </c>
      <c r="B19" s="4">
        <f>IFERROR(__xludf.DUMMYFUNCTION("""COMPUTED_VALUE"""),11020.0)</f>
        <v>11020</v>
      </c>
      <c r="C19" s="4">
        <f>IFERROR(__xludf.DUMMYFUNCTION("""COMPUTED_VALUE"""),60.0)</f>
        <v>60</v>
      </c>
      <c r="D19" s="4">
        <f>IFERROR(__xludf.DUMMYFUNCTION("""COMPUTED_VALUE"""),757.0)</f>
        <v>757</v>
      </c>
      <c r="E19" s="4">
        <f>IFERROR(__xludf.DUMMYFUNCTION("""COMPUTED_VALUE"""),257.0)</f>
        <v>257</v>
      </c>
      <c r="F19" s="4">
        <f>IFERROR(__xludf.DUMMYFUNCTION("""COMPUTED_VALUE"""),262.0)</f>
        <v>262</v>
      </c>
      <c r="G19" s="4">
        <f>IFERROR(__xludf.DUMMYFUNCTION("""COMPUTED_VALUE"""),4.0)</f>
        <v>4</v>
      </c>
      <c r="H19" s="4">
        <f>IFERROR(__xludf.DUMMYFUNCTION("""COMPUTED_VALUE"""),3.0)</f>
        <v>3</v>
      </c>
      <c r="I19" s="2" t="str">
        <f>IFERROR(__xludf.DUMMYFUNCTION("""COMPUTED_VALUE"""),"generated")</f>
        <v>generated</v>
      </c>
      <c r="J19" s="2">
        <f t="shared" si="2"/>
        <v>12</v>
      </c>
      <c r="K19" s="2">
        <f t="shared" si="3"/>
        <v>10000</v>
      </c>
      <c r="L19" s="2" t="str">
        <f t="shared" si="4"/>
        <v>P</v>
      </c>
      <c r="U19" s="1">
        <v>19.0</v>
      </c>
      <c r="V19" s="1">
        <v>2000000.0</v>
      </c>
      <c r="W19" s="6">
        <f t="shared" si="10"/>
        <v>2154434.69</v>
      </c>
      <c r="X19" s="6">
        <f t="shared" ref="X19:AB19" si="23">IF($AC19 = 0, "--", IF(AVERAGEIF($K:$K, $V19, D:D) &lt; 1, 1, AVERAGEIF($K:$K, $V19, D:D)))</f>
        <v>60000</v>
      </c>
      <c r="Y19" s="6">
        <f t="shared" si="23"/>
        <v>60000</v>
      </c>
      <c r="Z19" s="6">
        <f t="shared" si="23"/>
        <v>60000</v>
      </c>
      <c r="AA19" s="6">
        <f t="shared" si="23"/>
        <v>791.9</v>
      </c>
      <c r="AB19" s="6">
        <f t="shared" si="23"/>
        <v>555.6</v>
      </c>
      <c r="AC19" s="2">
        <f t="shared" si="12"/>
        <v>20</v>
      </c>
      <c r="AD19" s="2">
        <f t="shared" si="13"/>
        <v>107.9913607</v>
      </c>
      <c r="AE19" s="1" t="s">
        <v>2939</v>
      </c>
    </row>
    <row r="20">
      <c r="A20" s="2" t="str">
        <f>IFERROR(__xludf.DUMMYFUNCTION("""COMPUTED_VALUE"""),"examples/generated/loop_30000")</f>
        <v>examples/generated/loop_30000</v>
      </c>
      <c r="B20" s="4">
        <f>IFERROR(__xludf.DUMMYFUNCTION("""COMPUTED_VALUE"""),60000.0)</f>
        <v>60000</v>
      </c>
      <c r="C20" s="4">
        <f>IFERROR(__xludf.DUMMYFUNCTION("""COMPUTED_VALUE"""),60.0)</f>
        <v>60</v>
      </c>
      <c r="D20" s="4">
        <f>IFERROR(__xludf.DUMMYFUNCTION("""COMPUTED_VALUE"""),60000.0)</f>
        <v>60000</v>
      </c>
      <c r="E20" s="4">
        <f>IFERROR(__xludf.DUMMYFUNCTION("""COMPUTED_VALUE"""),57.0)</f>
        <v>57</v>
      </c>
      <c r="F20" s="4">
        <f>IFERROR(__xludf.DUMMYFUNCTION("""COMPUTED_VALUE"""),484.0)</f>
        <v>484</v>
      </c>
      <c r="G20" s="4">
        <f>IFERROR(__xludf.DUMMYFUNCTION("""COMPUTED_VALUE"""),1109.0)</f>
        <v>1109</v>
      </c>
      <c r="H20" s="4">
        <f>IFERROR(__xludf.DUMMYFUNCTION("""COMPUTED_VALUE"""),51.0)</f>
        <v>51</v>
      </c>
      <c r="I20" s="2" t="str">
        <f>IFERROR(__xludf.DUMMYFUNCTION("""COMPUTED_VALUE"""),"generated")</f>
        <v>generated</v>
      </c>
      <c r="J20" s="2">
        <f t="shared" si="2"/>
        <v>14</v>
      </c>
      <c r="K20" s="2">
        <f t="shared" si="3"/>
        <v>50000</v>
      </c>
      <c r="L20" s="2" t="str">
        <f t="shared" si="4"/>
        <v>P</v>
      </c>
    </row>
    <row r="21">
      <c r="A21" s="2" t="str">
        <f>IFERROR(__xludf.DUMMYFUNCTION("""COMPUTED_VALUE"""),"examples/generated/reverseline_10000")</f>
        <v>examples/generated/reverseline_10000</v>
      </c>
      <c r="B21" s="4">
        <f>IFERROR(__xludf.DUMMYFUNCTION("""COMPUTED_VALUE"""),20001.0)</f>
        <v>20001</v>
      </c>
      <c r="C21" s="4">
        <f>IFERROR(__xludf.DUMMYFUNCTION("""COMPUTED_VALUE"""),60.0)</f>
        <v>60</v>
      </c>
      <c r="D21" s="4">
        <f>IFERROR(__xludf.DUMMYFUNCTION("""COMPUTED_VALUE"""),13875.0)</f>
        <v>13875</v>
      </c>
      <c r="E21" s="4">
        <f>IFERROR(__xludf.DUMMYFUNCTION("""COMPUTED_VALUE"""),9974.0)</f>
        <v>9974</v>
      </c>
      <c r="F21" s="4">
        <f>IFERROR(__xludf.DUMMYFUNCTION("""COMPUTED_VALUE"""),15.0)</f>
        <v>15</v>
      </c>
      <c r="G21" s="4">
        <f>IFERROR(__xludf.DUMMYFUNCTION("""COMPUTED_VALUE"""),313.0)</f>
        <v>313</v>
      </c>
      <c r="H21" s="4">
        <f>IFERROR(__xludf.DUMMYFUNCTION("""COMPUTED_VALUE"""),70.0)</f>
        <v>70</v>
      </c>
      <c r="I21" s="2" t="str">
        <f>IFERROR(__xludf.DUMMYFUNCTION("""COMPUTED_VALUE"""),"generated")</f>
        <v>generated</v>
      </c>
      <c r="J21" s="2">
        <f t="shared" si="2"/>
        <v>13</v>
      </c>
      <c r="K21" s="2">
        <f t="shared" si="3"/>
        <v>20000</v>
      </c>
      <c r="L21" s="2" t="str">
        <f t="shared" si="4"/>
        <v>B</v>
      </c>
      <c r="V21" s="1" t="s">
        <v>2933</v>
      </c>
      <c r="AC21" s="2">
        <f>SUM(AC8:AC19)</f>
        <v>544</v>
      </c>
    </row>
    <row r="22">
      <c r="A22" s="2" t="str">
        <f>IFERROR(__xludf.DUMMYFUNCTION("""COMPUTED_VALUE"""),"examples/generated/reverseloop_10000")</f>
        <v>examples/generated/reverseloop_10000</v>
      </c>
      <c r="B22" s="4">
        <f>IFERROR(__xludf.DUMMYFUNCTION("""COMPUTED_VALUE"""),20000.0)</f>
        <v>20000</v>
      </c>
      <c r="C22" s="4">
        <f>IFERROR(__xludf.DUMMYFUNCTION("""COMPUTED_VALUE"""),60.0)</f>
        <v>60</v>
      </c>
      <c r="D22" s="4">
        <f>IFERROR(__xludf.DUMMYFUNCTION("""COMPUTED_VALUE"""),14031.0)</f>
        <v>14031</v>
      </c>
      <c r="E22" s="4">
        <f>IFERROR(__xludf.DUMMYFUNCTION("""COMPUTED_VALUE"""),10002.0)</f>
        <v>10002</v>
      </c>
      <c r="F22" s="4">
        <f>IFERROR(__xludf.DUMMYFUNCTION("""COMPUTED_VALUE"""),19.0)</f>
        <v>19</v>
      </c>
      <c r="G22" s="4">
        <f>IFERROR(__xludf.DUMMYFUNCTION("""COMPUTED_VALUE"""),313.0)</f>
        <v>313</v>
      </c>
      <c r="H22" s="4">
        <f>IFERROR(__xludf.DUMMYFUNCTION("""COMPUTED_VALUE"""),69.0)</f>
        <v>69</v>
      </c>
      <c r="I22" s="2" t="str">
        <f>IFERROR(__xludf.DUMMYFUNCTION("""COMPUTED_VALUE"""),"generated")</f>
        <v>generated</v>
      </c>
      <c r="J22" s="2">
        <f t="shared" si="2"/>
        <v>13</v>
      </c>
      <c r="K22" s="2">
        <f t="shared" si="3"/>
        <v>20000</v>
      </c>
      <c r="L22" s="2" t="str">
        <f t="shared" si="4"/>
        <v>B</v>
      </c>
      <c r="W22" s="1">
        <f>10^(5/6)</f>
        <v>6.812920691</v>
      </c>
    </row>
    <row r="23">
      <c r="A23" s="2" t="str">
        <f>IFERROR(__xludf.DUMMYFUNCTION("""COMPUTED_VALUE"""),"examples/generated/loop_3000")</f>
        <v>examples/generated/loop_3000</v>
      </c>
      <c r="B23" s="4">
        <f>IFERROR(__xludf.DUMMYFUNCTION("""COMPUTED_VALUE"""),6000.0)</f>
        <v>6000</v>
      </c>
      <c r="C23" s="4">
        <f>IFERROR(__xludf.DUMMYFUNCTION("""COMPUTED_VALUE"""),60.0)</f>
        <v>60</v>
      </c>
      <c r="D23" s="4">
        <f>IFERROR(__xludf.DUMMYFUNCTION("""COMPUTED_VALUE"""),1194.0)</f>
        <v>1194</v>
      </c>
      <c r="E23" s="4">
        <f>IFERROR(__xludf.DUMMYFUNCTION("""COMPUTED_VALUE"""),4.0)</f>
        <v>4</v>
      </c>
      <c r="F23" s="4">
        <f>IFERROR(__xludf.DUMMYFUNCTION("""COMPUTED_VALUE"""),18.0)</f>
        <v>18</v>
      </c>
      <c r="G23" s="4">
        <f>IFERROR(__xludf.DUMMYFUNCTION("""COMPUTED_VALUE"""),74.0)</f>
        <v>74</v>
      </c>
      <c r="H23" s="4">
        <f>IFERROR(__xludf.DUMMYFUNCTION("""COMPUTED_VALUE"""),4.0)</f>
        <v>4</v>
      </c>
      <c r="I23" s="2" t="str">
        <f>IFERROR(__xludf.DUMMYFUNCTION("""COMPUTED_VALUE"""),"generated")</f>
        <v>generated</v>
      </c>
      <c r="J23" s="2">
        <f t="shared" si="2"/>
        <v>11</v>
      </c>
      <c r="K23" s="2">
        <f t="shared" si="3"/>
        <v>5000</v>
      </c>
      <c r="L23" s="2" t="str">
        <f t="shared" si="4"/>
        <v>P</v>
      </c>
    </row>
    <row r="24">
      <c r="A24" s="2" t="str">
        <f>IFERROR(__xludf.DUMMYFUNCTION("""COMPUTED_VALUE"""),"examples/generated/line_30000")</f>
        <v>examples/generated/line_30000</v>
      </c>
      <c r="B24" s="4">
        <f>IFERROR(__xludf.DUMMYFUNCTION("""COMPUTED_VALUE"""),60001.0)</f>
        <v>60001</v>
      </c>
      <c r="C24" s="4">
        <f>IFERROR(__xludf.DUMMYFUNCTION("""COMPUTED_VALUE"""),60.0)</f>
        <v>60</v>
      </c>
      <c r="D24" s="4">
        <f>IFERROR(__xludf.DUMMYFUNCTION("""COMPUTED_VALUE"""),60000.0)</f>
        <v>60000</v>
      </c>
      <c r="E24" s="4">
        <f>IFERROR(__xludf.DUMMYFUNCTION("""COMPUTED_VALUE"""),54.0)</f>
        <v>54</v>
      </c>
      <c r="F24" s="4">
        <f>IFERROR(__xludf.DUMMYFUNCTION("""COMPUTED_VALUE"""),468.0)</f>
        <v>468</v>
      </c>
      <c r="G24" s="4">
        <f>IFERROR(__xludf.DUMMYFUNCTION("""COMPUTED_VALUE"""),1100.0)</f>
        <v>1100</v>
      </c>
      <c r="H24" s="4">
        <f>IFERROR(__xludf.DUMMYFUNCTION("""COMPUTED_VALUE"""),38.0)</f>
        <v>38</v>
      </c>
      <c r="I24" s="2" t="str">
        <f>IFERROR(__xludf.DUMMYFUNCTION("""COMPUTED_VALUE"""),"generated")</f>
        <v>generated</v>
      </c>
      <c r="J24" s="2">
        <f t="shared" si="2"/>
        <v>14</v>
      </c>
      <c r="K24" s="2">
        <f t="shared" si="3"/>
        <v>50000</v>
      </c>
      <c r="L24" s="2" t="str">
        <f t="shared" si="4"/>
        <v>P</v>
      </c>
    </row>
    <row r="25">
      <c r="A25" s="2" t="str">
        <f>IFERROR(__xludf.DUMMYFUNCTION("""COMPUTED_VALUE"""),"examples/generated/bipartite_10_1000")</f>
        <v>examples/generated/bipartite_10_1000</v>
      </c>
      <c r="B25" s="4">
        <f>IFERROR(__xludf.DUMMYFUNCTION("""COMPUTED_VALUE"""),11010.0)</f>
        <v>11010</v>
      </c>
      <c r="C25" s="4">
        <f>IFERROR(__xludf.DUMMYFUNCTION("""COMPUTED_VALUE"""),60.0)</f>
        <v>60</v>
      </c>
      <c r="D25" s="4">
        <f>IFERROR(__xludf.DUMMYFUNCTION("""COMPUTED_VALUE"""),760.0)</f>
        <v>760</v>
      </c>
      <c r="E25" s="4">
        <f>IFERROR(__xludf.DUMMYFUNCTION("""COMPUTED_VALUE"""),266.0)</f>
        <v>266</v>
      </c>
      <c r="F25" s="4">
        <f>IFERROR(__xludf.DUMMYFUNCTION("""COMPUTED_VALUE"""),258.0)</f>
        <v>258</v>
      </c>
      <c r="G25" s="4">
        <f>IFERROR(__xludf.DUMMYFUNCTION("""COMPUTED_VALUE"""),4.0)</f>
        <v>4</v>
      </c>
      <c r="H25" s="4">
        <f>IFERROR(__xludf.DUMMYFUNCTION("""COMPUTED_VALUE"""),4.0)</f>
        <v>4</v>
      </c>
      <c r="I25" s="2" t="str">
        <f>IFERROR(__xludf.DUMMYFUNCTION("""COMPUTED_VALUE"""),"generated")</f>
        <v>generated</v>
      </c>
      <c r="J25" s="2">
        <f t="shared" si="2"/>
        <v>12</v>
      </c>
      <c r="K25" s="2">
        <f t="shared" si="3"/>
        <v>10000</v>
      </c>
      <c r="L25" s="2" t="str">
        <f t="shared" si="4"/>
        <v>JP</v>
      </c>
    </row>
    <row r="26">
      <c r="A26" s="2" t="str">
        <f>IFERROR(__xludf.DUMMYFUNCTION("""COMPUTED_VALUE"""),"examples/generated/reverseunkloop_10000")</f>
        <v>examples/generated/reverseunkloop_10000</v>
      </c>
      <c r="B26" s="4">
        <f>IFERROR(__xludf.DUMMYFUNCTION("""COMPUTED_VALUE"""),20001.0)</f>
        <v>20001</v>
      </c>
      <c r="C26" s="4">
        <f>IFERROR(__xludf.DUMMYFUNCTION("""COMPUTED_VALUE"""),60.0)</f>
        <v>60</v>
      </c>
      <c r="D26" s="4">
        <f>IFERROR(__xludf.DUMMYFUNCTION("""COMPUTED_VALUE"""),13853.0)</f>
        <v>13853</v>
      </c>
      <c r="E26" s="4">
        <f>IFERROR(__xludf.DUMMYFUNCTION("""COMPUTED_VALUE"""),9975.0)</f>
        <v>9975</v>
      </c>
      <c r="F26" s="4">
        <f>IFERROR(__xludf.DUMMYFUNCTION("""COMPUTED_VALUE"""),19.0)</f>
        <v>19</v>
      </c>
      <c r="G26" s="4">
        <f>IFERROR(__xludf.DUMMYFUNCTION("""COMPUTED_VALUE"""),310.0)</f>
        <v>310</v>
      </c>
      <c r="H26" s="4">
        <f>IFERROR(__xludf.DUMMYFUNCTION("""COMPUTED_VALUE"""),66.0)</f>
        <v>66</v>
      </c>
      <c r="I26" s="2" t="str">
        <f>IFERROR(__xludf.DUMMYFUNCTION("""COMPUTED_VALUE"""),"generated")</f>
        <v>generated</v>
      </c>
      <c r="J26" s="2">
        <f t="shared" si="2"/>
        <v>13</v>
      </c>
      <c r="K26" s="2">
        <f t="shared" si="3"/>
        <v>20000</v>
      </c>
      <c r="L26" s="2" t="str">
        <f t="shared" si="4"/>
        <v>B</v>
      </c>
    </row>
    <row r="27">
      <c r="A27" s="2" t="str">
        <f>IFERROR(__xludf.DUMMYFUNCTION("""COMPUTED_VALUE"""),"examples/generated/unkline_30000")</f>
        <v>examples/generated/unkline_30000</v>
      </c>
      <c r="B27" s="4">
        <f>IFERROR(__xludf.DUMMYFUNCTION("""COMPUTED_VALUE"""),60000.0)</f>
        <v>60000</v>
      </c>
      <c r="C27" s="4">
        <f>IFERROR(__xludf.DUMMYFUNCTION("""COMPUTED_VALUE"""),60.0)</f>
        <v>60</v>
      </c>
      <c r="D27" s="4">
        <f>IFERROR(__xludf.DUMMYFUNCTION("""COMPUTED_VALUE"""),60000.0)</f>
        <v>60000</v>
      </c>
      <c r="E27" s="4">
        <f>IFERROR(__xludf.DUMMYFUNCTION("""COMPUTED_VALUE"""),36.0)</f>
        <v>36</v>
      </c>
      <c r="F27" s="4">
        <f>IFERROR(__xludf.DUMMYFUNCTION("""COMPUTED_VALUE"""),453.0)</f>
        <v>453</v>
      </c>
      <c r="G27" s="4">
        <f>IFERROR(__xludf.DUMMYFUNCTION("""COMPUTED_VALUE"""),1117.0)</f>
        <v>1117</v>
      </c>
      <c r="H27" s="4">
        <f>IFERROR(__xludf.DUMMYFUNCTION("""COMPUTED_VALUE"""),27.0)</f>
        <v>27</v>
      </c>
      <c r="I27" s="2" t="str">
        <f>IFERROR(__xludf.DUMMYFUNCTION("""COMPUTED_VALUE"""),"generated")</f>
        <v>generated</v>
      </c>
      <c r="J27" s="2">
        <f t="shared" si="2"/>
        <v>14</v>
      </c>
      <c r="K27" s="2">
        <f t="shared" si="3"/>
        <v>50000</v>
      </c>
      <c r="L27" s="2" t="str">
        <f t="shared" si="4"/>
        <v>P</v>
      </c>
    </row>
    <row r="28">
      <c r="A28" s="2" t="str">
        <f>IFERROR(__xludf.DUMMYFUNCTION("""COMPUTED_VALUE"""),"examples/generated/unkcomplete_1000")</f>
        <v>examples/generated/unkcomplete_1000</v>
      </c>
      <c r="B28" s="4">
        <f>IFERROR(__xludf.DUMMYFUNCTION("""COMPUTED_VALUE"""),1001000.0)</f>
        <v>1001000</v>
      </c>
      <c r="C28" s="4">
        <f>IFERROR(__xludf.DUMMYFUNCTION("""COMPUTED_VALUE"""),60.0)</f>
        <v>60</v>
      </c>
      <c r="D28" s="4">
        <f>IFERROR(__xludf.DUMMYFUNCTION("""COMPUTED_VALUE"""),60000.0)</f>
        <v>60000</v>
      </c>
      <c r="E28" s="4">
        <f>IFERROR(__xludf.DUMMYFUNCTION("""COMPUTED_VALUE"""),15243.0)</f>
        <v>15243</v>
      </c>
      <c r="F28" s="4">
        <f>IFERROR(__xludf.DUMMYFUNCTION("""COMPUTED_VALUE"""),60000.0)</f>
        <v>60000</v>
      </c>
      <c r="G28" s="4">
        <f>IFERROR(__xludf.DUMMYFUNCTION("""COMPUTED_VALUE"""),265.0)</f>
        <v>265</v>
      </c>
      <c r="H28" s="4">
        <f>IFERROR(__xludf.DUMMYFUNCTION("""COMPUTED_VALUE"""),227.0)</f>
        <v>227</v>
      </c>
      <c r="I28" s="2" t="str">
        <f>IFERROR(__xludf.DUMMYFUNCTION("""COMPUTED_VALUE"""),"generated")</f>
        <v>generated</v>
      </c>
      <c r="J28" s="2">
        <f t="shared" si="2"/>
        <v>18</v>
      </c>
      <c r="K28" s="2">
        <f t="shared" si="3"/>
        <v>1000000</v>
      </c>
      <c r="L28" s="2" t="str">
        <f t="shared" si="4"/>
        <v>P</v>
      </c>
    </row>
    <row r="29">
      <c r="A29" s="2" t="str">
        <f>IFERROR(__xludf.DUMMYFUNCTION("""COMPUTED_VALUE"""),"examples/generated/reverseline_3000")</f>
        <v>examples/generated/reverseline_3000</v>
      </c>
      <c r="B29" s="4">
        <f>IFERROR(__xludf.DUMMYFUNCTION("""COMPUTED_VALUE"""),6001.0)</f>
        <v>6001</v>
      </c>
      <c r="C29" s="4">
        <f>IFERROR(__xludf.DUMMYFUNCTION("""COMPUTED_VALUE"""),60.0)</f>
        <v>60</v>
      </c>
      <c r="D29" s="4">
        <f>IFERROR(__xludf.DUMMYFUNCTION("""COMPUTED_VALUE"""),1211.0)</f>
        <v>1211</v>
      </c>
      <c r="E29" s="4">
        <f>IFERROR(__xludf.DUMMYFUNCTION("""COMPUTED_VALUE"""),864.0)</f>
        <v>864</v>
      </c>
      <c r="F29" s="4">
        <f>IFERROR(__xludf.DUMMYFUNCTION("""COMPUTED_VALUE"""),4.0)</f>
        <v>4</v>
      </c>
      <c r="G29" s="4">
        <f>IFERROR(__xludf.DUMMYFUNCTION("""COMPUTED_VALUE"""),75.0)</f>
        <v>75</v>
      </c>
      <c r="H29" s="4">
        <f>IFERROR(__xludf.DUMMYFUNCTION("""COMPUTED_VALUE"""),18.0)</f>
        <v>18</v>
      </c>
      <c r="I29" s="2" t="str">
        <f>IFERROR(__xludf.DUMMYFUNCTION("""COMPUTED_VALUE"""),"generated")</f>
        <v>generated</v>
      </c>
      <c r="J29" s="2">
        <f t="shared" si="2"/>
        <v>11</v>
      </c>
      <c r="K29" s="2">
        <f t="shared" si="3"/>
        <v>5000</v>
      </c>
      <c r="L29" s="2" t="str">
        <f t="shared" si="4"/>
        <v>B</v>
      </c>
    </row>
    <row r="30">
      <c r="A30" s="2" t="str">
        <f>IFERROR(__xludf.DUMMYFUNCTION("""COMPUTED_VALUE"""),"examples/generated/reverseunkline_1000")</f>
        <v>examples/generated/reverseunkline_1000</v>
      </c>
      <c r="B30" s="4">
        <f>IFERROR(__xludf.DUMMYFUNCTION("""COMPUTED_VALUE"""),2000.0)</f>
        <v>2000</v>
      </c>
      <c r="C30" s="4">
        <f>IFERROR(__xludf.DUMMYFUNCTION("""COMPUTED_VALUE"""),60.0)</f>
        <v>60</v>
      </c>
      <c r="D30" s="4">
        <f>IFERROR(__xludf.DUMMYFUNCTION("""COMPUTED_VALUE"""),130.0)</f>
        <v>130</v>
      </c>
      <c r="E30" s="4">
        <f>IFERROR(__xludf.DUMMYFUNCTION("""COMPUTED_VALUE"""),94.0)</f>
        <v>94</v>
      </c>
      <c r="F30" s="4">
        <f>IFERROR(__xludf.DUMMYFUNCTION("""COMPUTED_VALUE"""),1.0)</f>
        <v>1</v>
      </c>
      <c r="G30" s="4">
        <f>IFERROR(__xludf.DUMMYFUNCTION("""COMPUTED_VALUE"""),19.0)</f>
        <v>19</v>
      </c>
      <c r="H30" s="4">
        <f>IFERROR(__xludf.DUMMYFUNCTION("""COMPUTED_VALUE"""),4.0)</f>
        <v>4</v>
      </c>
      <c r="I30" s="2" t="str">
        <f>IFERROR(__xludf.DUMMYFUNCTION("""COMPUTED_VALUE"""),"generated")</f>
        <v>generated</v>
      </c>
      <c r="J30" s="2">
        <f t="shared" si="2"/>
        <v>10</v>
      </c>
      <c r="K30" s="2">
        <f t="shared" si="3"/>
        <v>2000</v>
      </c>
      <c r="L30" s="2" t="str">
        <f t="shared" si="4"/>
        <v>B</v>
      </c>
    </row>
    <row r="31">
      <c r="A31" s="2" t="str">
        <f>IFERROR(__xludf.DUMMYFUNCTION("""COMPUTED_VALUE"""),"examples/generated/unkline_1000")</f>
        <v>examples/generated/unkline_1000</v>
      </c>
      <c r="B31" s="4">
        <f>IFERROR(__xludf.DUMMYFUNCTION("""COMPUTED_VALUE"""),2000.0)</f>
        <v>2000</v>
      </c>
      <c r="C31" s="4">
        <f>IFERROR(__xludf.DUMMYFUNCTION("""COMPUTED_VALUE"""),60.0)</f>
        <v>60</v>
      </c>
      <c r="D31" s="4">
        <f>IFERROR(__xludf.DUMMYFUNCTION("""COMPUTED_VALUE"""),130.0)</f>
        <v>130</v>
      </c>
      <c r="E31" s="4">
        <f>IFERROR(__xludf.DUMMYFUNCTION("""COMPUTED_VALUE"""),1.0)</f>
        <v>1</v>
      </c>
      <c r="F31" s="4">
        <f>IFERROR(__xludf.DUMMYFUNCTION("""COMPUTED_VALUE"""),3.0)</f>
        <v>3</v>
      </c>
      <c r="G31" s="4">
        <f>IFERROR(__xludf.DUMMYFUNCTION("""COMPUTED_VALUE"""),19.0)</f>
        <v>19</v>
      </c>
      <c r="H31" s="4">
        <f>IFERROR(__xludf.DUMMYFUNCTION("""COMPUTED_VALUE"""),0.0)</f>
        <v>0</v>
      </c>
      <c r="I31" s="2" t="str">
        <f>IFERROR(__xludf.DUMMYFUNCTION("""COMPUTED_VALUE"""),"generated")</f>
        <v>generated</v>
      </c>
      <c r="J31" s="2">
        <f t="shared" si="2"/>
        <v>10</v>
      </c>
      <c r="K31" s="2">
        <f t="shared" si="3"/>
        <v>2000</v>
      </c>
      <c r="L31" s="2" t="str">
        <f t="shared" si="4"/>
        <v>P</v>
      </c>
    </row>
    <row r="32">
      <c r="A32" s="2" t="str">
        <f>IFERROR(__xludf.DUMMYFUNCTION("""COMPUTED_VALUE"""),"examples/generated/complete_100")</f>
        <v>examples/generated/complete_100</v>
      </c>
      <c r="B32" s="4">
        <f>IFERROR(__xludf.DUMMYFUNCTION("""COMPUTED_VALUE"""),10000.0)</f>
        <v>10000</v>
      </c>
      <c r="C32" s="4">
        <f>IFERROR(__xludf.DUMMYFUNCTION("""COMPUTED_VALUE"""),60.0)</f>
        <v>60</v>
      </c>
      <c r="D32" s="4">
        <f>IFERROR(__xludf.DUMMYFUNCTION("""COMPUTED_VALUE"""),356.0)</f>
        <v>356</v>
      </c>
      <c r="E32" s="4">
        <f>IFERROR(__xludf.DUMMYFUNCTION("""COMPUTED_VALUE"""),17.0)</f>
        <v>17</v>
      </c>
      <c r="F32" s="4">
        <f>IFERROR(__xludf.DUMMYFUNCTION("""COMPUTED_VALUE"""),37.0)</f>
        <v>37</v>
      </c>
      <c r="G32" s="4">
        <f>IFERROR(__xludf.DUMMYFUNCTION("""COMPUTED_VALUE"""),8.0)</f>
        <v>8</v>
      </c>
      <c r="H32" s="4">
        <f>IFERROR(__xludf.DUMMYFUNCTION("""COMPUTED_VALUE"""),4.0)</f>
        <v>4</v>
      </c>
      <c r="I32" s="2" t="str">
        <f>IFERROR(__xludf.DUMMYFUNCTION("""COMPUTED_VALUE"""),"generated")</f>
        <v>generated</v>
      </c>
      <c r="J32" s="2">
        <f t="shared" si="2"/>
        <v>12</v>
      </c>
      <c r="K32" s="2">
        <f t="shared" si="3"/>
        <v>10000</v>
      </c>
      <c r="L32" s="2" t="str">
        <f t="shared" si="4"/>
        <v>P</v>
      </c>
    </row>
    <row r="33">
      <c r="A33" s="2" t="str">
        <f>IFERROR(__xludf.DUMMYFUNCTION("""COMPUTED_VALUE"""),"examples/generated/unkbipartite_1000_10")</f>
        <v>examples/generated/unkbipartite_1000_10</v>
      </c>
      <c r="B33" s="4">
        <f>IFERROR(__xludf.DUMMYFUNCTION("""COMPUTED_VALUE"""),12010.0)</f>
        <v>12010</v>
      </c>
      <c r="C33" s="4">
        <f>IFERROR(__xludf.DUMMYFUNCTION("""COMPUTED_VALUE"""),60.0)</f>
        <v>60</v>
      </c>
      <c r="D33" s="4">
        <f>IFERROR(__xludf.DUMMYFUNCTION("""COMPUTED_VALUE"""),732.0)</f>
        <v>732</v>
      </c>
      <c r="E33" s="4">
        <f>IFERROR(__xludf.DUMMYFUNCTION("""COMPUTED_VALUE"""),9.0)</f>
        <v>9</v>
      </c>
      <c r="F33" s="4">
        <f>IFERROR(__xludf.DUMMYFUNCTION("""COMPUTED_VALUE"""),12.0)</f>
        <v>12</v>
      </c>
      <c r="G33" s="4">
        <f>IFERROR(__xludf.DUMMYFUNCTION("""COMPUTED_VALUE"""),25.0)</f>
        <v>25</v>
      </c>
      <c r="H33" s="4">
        <f>IFERROR(__xludf.DUMMYFUNCTION("""COMPUTED_VALUE"""),4.0)</f>
        <v>4</v>
      </c>
      <c r="I33" s="2" t="str">
        <f>IFERROR(__xludf.DUMMYFUNCTION("""COMPUTED_VALUE"""),"generated")</f>
        <v>generated</v>
      </c>
      <c r="J33" s="2">
        <f t="shared" si="2"/>
        <v>12</v>
      </c>
      <c r="K33" s="2">
        <f t="shared" si="3"/>
        <v>10000</v>
      </c>
      <c r="L33" s="2" t="str">
        <f t="shared" si="4"/>
        <v>P</v>
      </c>
    </row>
    <row r="34">
      <c r="A34" s="2" t="str">
        <f>IFERROR(__xludf.DUMMYFUNCTION("""COMPUTED_VALUE"""),"examples/generated/completeacyclic_300")</f>
        <v>examples/generated/completeacyclic_300</v>
      </c>
      <c r="B34" s="4">
        <f>IFERROR(__xludf.DUMMYFUNCTION("""COMPUTED_VALUE"""),45150.0)</f>
        <v>45150</v>
      </c>
      <c r="C34" s="4">
        <f>IFERROR(__xludf.DUMMYFUNCTION("""COMPUTED_VALUE"""),60.0)</f>
        <v>60</v>
      </c>
      <c r="D34" s="4">
        <f>IFERROR(__xludf.DUMMYFUNCTION("""COMPUTED_VALUE"""),14186.0)</f>
        <v>14186</v>
      </c>
      <c r="E34" s="4">
        <f>IFERROR(__xludf.DUMMYFUNCTION("""COMPUTED_VALUE"""),19.0)</f>
        <v>19</v>
      </c>
      <c r="F34" s="4">
        <f>IFERROR(__xludf.DUMMYFUNCTION("""COMPUTED_VALUE"""),20511.0)</f>
        <v>20511</v>
      </c>
      <c r="G34" s="4">
        <f>IFERROR(__xludf.DUMMYFUNCTION("""COMPUTED_VALUE"""),758.0)</f>
        <v>758</v>
      </c>
      <c r="H34" s="4">
        <f>IFERROR(__xludf.DUMMYFUNCTION("""COMPUTED_VALUE"""),22.0)</f>
        <v>22</v>
      </c>
      <c r="I34" s="2" t="str">
        <f>IFERROR(__xludf.DUMMYFUNCTION("""COMPUTED_VALUE"""),"generated")</f>
        <v>generated</v>
      </c>
      <c r="J34" s="2">
        <f t="shared" si="2"/>
        <v>14</v>
      </c>
      <c r="K34" s="2">
        <f t="shared" si="3"/>
        <v>50000</v>
      </c>
      <c r="L34" s="2" t="str">
        <f t="shared" si="4"/>
        <v>P</v>
      </c>
    </row>
    <row r="35">
      <c r="A35" s="2" t="str">
        <f>IFERROR(__xludf.DUMMYFUNCTION("""COMPUTED_VALUE"""),"examples/generated/unkcomplete_300")</f>
        <v>examples/generated/unkcomplete_300</v>
      </c>
      <c r="B35" s="4">
        <f>IFERROR(__xludf.DUMMYFUNCTION("""COMPUTED_VALUE"""),90300.0)</f>
        <v>90300</v>
      </c>
      <c r="C35" s="4">
        <f>IFERROR(__xludf.DUMMYFUNCTION("""COMPUTED_VALUE"""),60.0)</f>
        <v>60</v>
      </c>
      <c r="D35" s="4">
        <f>IFERROR(__xludf.DUMMYFUNCTION("""COMPUTED_VALUE"""),60000.0)</f>
        <v>60000</v>
      </c>
      <c r="E35" s="4">
        <f>IFERROR(__xludf.DUMMYFUNCTION("""COMPUTED_VALUE"""),419.0)</f>
        <v>419</v>
      </c>
      <c r="F35" s="4">
        <f>IFERROR(__xludf.DUMMYFUNCTION("""COMPUTED_VALUE"""),2426.0)</f>
        <v>2426</v>
      </c>
      <c r="G35" s="4">
        <f>IFERROR(__xludf.DUMMYFUNCTION("""COMPUTED_VALUE"""),26.0)</f>
        <v>26</v>
      </c>
      <c r="H35" s="4">
        <f>IFERROR(__xludf.DUMMYFUNCTION("""COMPUTED_VALUE"""),17.0)</f>
        <v>17</v>
      </c>
      <c r="I35" s="2" t="str">
        <f>IFERROR(__xludf.DUMMYFUNCTION("""COMPUTED_VALUE"""),"generated")</f>
        <v>generated</v>
      </c>
      <c r="J35" s="2">
        <f t="shared" si="2"/>
        <v>15</v>
      </c>
      <c r="K35" s="2">
        <f t="shared" si="3"/>
        <v>100000</v>
      </c>
      <c r="L35" s="2" t="str">
        <f t="shared" si="4"/>
        <v>P</v>
      </c>
    </row>
    <row r="36">
      <c r="A36" s="2" t="str">
        <f>IFERROR(__xludf.DUMMYFUNCTION("""COMPUTED_VALUE"""),"examples/generated/reverseunkline_100000")</f>
        <v>examples/generated/reverseunkline_100000</v>
      </c>
      <c r="B36" s="4">
        <f>IFERROR(__xludf.DUMMYFUNCTION("""COMPUTED_VALUE"""),200000.0)</f>
        <v>200000</v>
      </c>
      <c r="C36" s="4">
        <f>IFERROR(__xludf.DUMMYFUNCTION("""COMPUTED_VALUE"""),60.0)</f>
        <v>60</v>
      </c>
      <c r="D36" s="4">
        <f>IFERROR(__xludf.DUMMYFUNCTION("""COMPUTED_VALUE"""),60000.0)</f>
        <v>60000</v>
      </c>
      <c r="E36" s="4">
        <f>IFERROR(__xludf.DUMMYFUNCTION("""COMPUTED_VALUE"""),60000.0)</f>
        <v>60000</v>
      </c>
      <c r="F36" s="4">
        <f>IFERROR(__xludf.DUMMYFUNCTION("""COMPUTED_VALUE"""),235.0)</f>
        <v>235</v>
      </c>
      <c r="G36" s="4">
        <f>IFERROR(__xludf.DUMMYFUNCTION("""COMPUTED_VALUE"""),4450.0)</f>
        <v>4450</v>
      </c>
      <c r="H36" s="4">
        <f>IFERROR(__xludf.DUMMYFUNCTION("""COMPUTED_VALUE"""),876.0)</f>
        <v>876</v>
      </c>
      <c r="I36" s="2" t="str">
        <f>IFERROR(__xludf.DUMMYFUNCTION("""COMPUTED_VALUE"""),"generated")</f>
        <v>generated</v>
      </c>
      <c r="J36" s="2">
        <f t="shared" si="2"/>
        <v>16</v>
      </c>
      <c r="K36" s="2">
        <f t="shared" si="3"/>
        <v>200000</v>
      </c>
      <c r="L36" s="2" t="str">
        <f t="shared" si="4"/>
        <v>B</v>
      </c>
    </row>
    <row r="37">
      <c r="A37" s="2" t="str">
        <f>IFERROR(__xludf.DUMMYFUNCTION("""COMPUTED_VALUE"""),"examples/generated/reverseunkloop_100000")</f>
        <v>examples/generated/reverseunkloop_100000</v>
      </c>
      <c r="B37" s="4">
        <f>IFERROR(__xludf.DUMMYFUNCTION("""COMPUTED_VALUE"""),200001.0)</f>
        <v>200001</v>
      </c>
      <c r="C37" s="4">
        <f>IFERROR(__xludf.DUMMYFUNCTION("""COMPUTED_VALUE"""),60.0)</f>
        <v>60</v>
      </c>
      <c r="D37" s="4">
        <f>IFERROR(__xludf.DUMMYFUNCTION("""COMPUTED_VALUE"""),60000.0)</f>
        <v>60000</v>
      </c>
      <c r="E37" s="4">
        <f>IFERROR(__xludf.DUMMYFUNCTION("""COMPUTED_VALUE"""),60000.0)</f>
        <v>60000</v>
      </c>
      <c r="F37" s="4">
        <f>IFERROR(__xludf.DUMMYFUNCTION("""COMPUTED_VALUE"""),329.0)</f>
        <v>329</v>
      </c>
      <c r="G37" s="4">
        <f>IFERROR(__xludf.DUMMYFUNCTION("""COMPUTED_VALUE"""),4471.0)</f>
        <v>4471</v>
      </c>
      <c r="H37" s="4">
        <f>IFERROR(__xludf.DUMMYFUNCTION("""COMPUTED_VALUE"""),873.0)</f>
        <v>873</v>
      </c>
      <c r="I37" s="2" t="str">
        <f>IFERROR(__xludf.DUMMYFUNCTION("""COMPUTED_VALUE"""),"generated")</f>
        <v>generated</v>
      </c>
      <c r="J37" s="2">
        <f t="shared" si="2"/>
        <v>16</v>
      </c>
      <c r="K37" s="2">
        <f t="shared" si="3"/>
        <v>200000</v>
      </c>
      <c r="L37" s="2" t="str">
        <f t="shared" si="4"/>
        <v>B</v>
      </c>
    </row>
    <row r="38">
      <c r="A38" s="2" t="str">
        <f>IFERROR(__xludf.DUMMYFUNCTION("""COMPUTED_VALUE"""),"examples/generated/reverseloop_30000")</f>
        <v>examples/generated/reverseloop_30000</v>
      </c>
      <c r="B38" s="4">
        <f>IFERROR(__xludf.DUMMYFUNCTION("""COMPUTED_VALUE"""),60000.0)</f>
        <v>60000</v>
      </c>
      <c r="C38" s="4">
        <f>IFERROR(__xludf.DUMMYFUNCTION("""COMPUTED_VALUE"""),60.0)</f>
        <v>60</v>
      </c>
      <c r="D38" s="4">
        <f>IFERROR(__xludf.DUMMYFUNCTION("""COMPUTED_VALUE"""),60000.0)</f>
        <v>60000</v>
      </c>
      <c r="E38" s="4">
        <f>IFERROR(__xludf.DUMMYFUNCTION("""COMPUTED_VALUE"""),60000.0)</f>
        <v>60000</v>
      </c>
      <c r="F38" s="4">
        <f>IFERROR(__xludf.DUMMYFUNCTION("""COMPUTED_VALUE"""),95.0)</f>
        <v>95</v>
      </c>
      <c r="G38" s="4">
        <f>IFERROR(__xludf.DUMMYFUNCTION("""COMPUTED_VALUE"""),1159.0)</f>
        <v>1159</v>
      </c>
      <c r="H38" s="4">
        <f>IFERROR(__xludf.DUMMYFUNCTION("""COMPUTED_VALUE"""),243.0)</f>
        <v>243</v>
      </c>
      <c r="I38" s="2" t="str">
        <f>IFERROR(__xludf.DUMMYFUNCTION("""COMPUTED_VALUE"""),"generated")</f>
        <v>generated</v>
      </c>
      <c r="J38" s="2">
        <f t="shared" si="2"/>
        <v>14</v>
      </c>
      <c r="K38" s="2">
        <f t="shared" si="3"/>
        <v>50000</v>
      </c>
      <c r="L38" s="2" t="str">
        <f t="shared" si="4"/>
        <v>B</v>
      </c>
    </row>
    <row r="39">
      <c r="A39" s="2" t="str">
        <f>IFERROR(__xludf.DUMMYFUNCTION("""COMPUTED_VALUE"""),"examples/generated/unkbipartite_300_300")</f>
        <v>examples/generated/unkbipartite_300_300</v>
      </c>
      <c r="B39" s="4">
        <f>IFERROR(__xludf.DUMMYFUNCTION("""COMPUTED_VALUE"""),90900.0)</f>
        <v>90900</v>
      </c>
      <c r="C39" s="4">
        <f>IFERROR(__xludf.DUMMYFUNCTION("""COMPUTED_VALUE"""),60.0)</f>
        <v>60</v>
      </c>
      <c r="D39" s="4">
        <f>IFERROR(__xludf.DUMMYFUNCTION("""COMPUTED_VALUE"""),3247.0)</f>
        <v>3247</v>
      </c>
      <c r="E39" s="4">
        <f>IFERROR(__xludf.DUMMYFUNCTION("""COMPUTED_VALUE"""),709.0)</f>
        <v>709</v>
      </c>
      <c r="F39" s="4">
        <f>IFERROR(__xludf.DUMMYFUNCTION("""COMPUTED_VALUE"""),736.0)</f>
        <v>736</v>
      </c>
      <c r="G39" s="4">
        <f>IFERROR(__xludf.DUMMYFUNCTION("""COMPUTED_VALUE"""),36.0)</f>
        <v>36</v>
      </c>
      <c r="H39" s="4">
        <f>IFERROR(__xludf.DUMMYFUNCTION("""COMPUTED_VALUE"""),29.0)</f>
        <v>29</v>
      </c>
      <c r="I39" s="2" t="str">
        <f>IFERROR(__xludf.DUMMYFUNCTION("""COMPUTED_VALUE"""),"generated")</f>
        <v>generated</v>
      </c>
      <c r="J39" s="2">
        <f t="shared" si="2"/>
        <v>15</v>
      </c>
      <c r="K39" s="2">
        <f t="shared" si="3"/>
        <v>100000</v>
      </c>
      <c r="L39" s="2" t="str">
        <f t="shared" si="4"/>
        <v>P</v>
      </c>
    </row>
    <row r="40">
      <c r="A40" s="2" t="str">
        <f>IFERROR(__xludf.DUMMYFUNCTION("""COMPUTED_VALUE"""),"examples/generated/loop_100000")</f>
        <v>examples/generated/loop_100000</v>
      </c>
      <c r="B40" s="4">
        <f>IFERROR(__xludf.DUMMYFUNCTION("""COMPUTED_VALUE"""),200000.0)</f>
        <v>200000</v>
      </c>
      <c r="C40" s="4">
        <f>IFERROR(__xludf.DUMMYFUNCTION("""COMPUTED_VALUE"""),60.0)</f>
        <v>60</v>
      </c>
      <c r="D40" s="4">
        <f>IFERROR(__xludf.DUMMYFUNCTION("""COMPUTED_VALUE"""),60000.0)</f>
        <v>60000</v>
      </c>
      <c r="E40" s="4">
        <f>IFERROR(__xludf.DUMMYFUNCTION("""COMPUTED_VALUE"""),245.0)</f>
        <v>245</v>
      </c>
      <c r="F40" s="4">
        <f>IFERROR(__xludf.DUMMYFUNCTION("""COMPUTED_VALUE"""),2875.0)</f>
        <v>2875</v>
      </c>
      <c r="G40" s="4">
        <f>IFERROR(__xludf.DUMMYFUNCTION("""COMPUTED_VALUE"""),4428.0)</f>
        <v>4428</v>
      </c>
      <c r="H40" s="4">
        <f>IFERROR(__xludf.DUMMYFUNCTION("""COMPUTED_VALUE"""),179.0)</f>
        <v>179</v>
      </c>
      <c r="I40" s="2" t="str">
        <f>IFERROR(__xludf.DUMMYFUNCTION("""COMPUTED_VALUE"""),"generated")</f>
        <v>generated</v>
      </c>
      <c r="J40" s="2">
        <f t="shared" si="2"/>
        <v>16</v>
      </c>
      <c r="K40" s="2">
        <f t="shared" si="3"/>
        <v>200000</v>
      </c>
      <c r="L40" s="2" t="str">
        <f t="shared" si="4"/>
        <v>P</v>
      </c>
    </row>
    <row r="41">
      <c r="A41" s="2" t="str">
        <f>IFERROR(__xludf.DUMMYFUNCTION("""COMPUTED_VALUE"""),"examples/generated/unkloop_3000")</f>
        <v>examples/generated/unkloop_3000</v>
      </c>
      <c r="B41" s="4">
        <f>IFERROR(__xludf.DUMMYFUNCTION("""COMPUTED_VALUE"""),6001.0)</f>
        <v>6001</v>
      </c>
      <c r="C41" s="4">
        <f>IFERROR(__xludf.DUMMYFUNCTION("""COMPUTED_VALUE"""),60.0)</f>
        <v>60</v>
      </c>
      <c r="D41" s="4">
        <f>IFERROR(__xludf.DUMMYFUNCTION("""COMPUTED_VALUE"""),1198.0)</f>
        <v>1198</v>
      </c>
      <c r="E41" s="4">
        <f>IFERROR(__xludf.DUMMYFUNCTION("""COMPUTED_VALUE"""),4.0)</f>
        <v>4</v>
      </c>
      <c r="F41" s="4">
        <f>IFERROR(__xludf.DUMMYFUNCTION("""COMPUTED_VALUE"""),18.0)</f>
        <v>18</v>
      </c>
      <c r="G41" s="4">
        <f>IFERROR(__xludf.DUMMYFUNCTION("""COMPUTED_VALUE"""),73.0)</f>
        <v>73</v>
      </c>
      <c r="H41" s="4">
        <f>IFERROR(__xludf.DUMMYFUNCTION("""COMPUTED_VALUE"""),2.0)</f>
        <v>2</v>
      </c>
      <c r="I41" s="2" t="str">
        <f>IFERROR(__xludf.DUMMYFUNCTION("""COMPUTED_VALUE"""),"generated")</f>
        <v>generated</v>
      </c>
      <c r="J41" s="2">
        <f t="shared" si="2"/>
        <v>11</v>
      </c>
      <c r="K41" s="2">
        <f t="shared" si="3"/>
        <v>5000</v>
      </c>
      <c r="L41" s="2" t="str">
        <f t="shared" si="4"/>
        <v>P</v>
      </c>
    </row>
    <row r="42">
      <c r="A42" s="2" t="str">
        <f>IFERROR(__xludf.DUMMYFUNCTION("""COMPUTED_VALUE"""),"examples/generated/line_10000")</f>
        <v>examples/generated/line_10000</v>
      </c>
      <c r="B42" s="4">
        <f>IFERROR(__xludf.DUMMYFUNCTION("""COMPUTED_VALUE"""),20001.0)</f>
        <v>20001</v>
      </c>
      <c r="C42" s="4">
        <f>IFERROR(__xludf.DUMMYFUNCTION("""COMPUTED_VALUE"""),60.0)</f>
        <v>60</v>
      </c>
      <c r="D42" s="4">
        <f>IFERROR(__xludf.DUMMYFUNCTION("""COMPUTED_VALUE"""),13917.0)</f>
        <v>13917</v>
      </c>
      <c r="E42" s="4">
        <f>IFERROR(__xludf.DUMMYFUNCTION("""COMPUTED_VALUE"""),15.0)</f>
        <v>15</v>
      </c>
      <c r="F42" s="4">
        <f>IFERROR(__xludf.DUMMYFUNCTION("""COMPUTED_VALUE"""),93.0)</f>
        <v>93</v>
      </c>
      <c r="G42" s="4">
        <f>IFERROR(__xludf.DUMMYFUNCTION("""COMPUTED_VALUE"""),305.0)</f>
        <v>305</v>
      </c>
      <c r="H42" s="4">
        <f>IFERROR(__xludf.DUMMYFUNCTION("""COMPUTED_VALUE"""),11.0)</f>
        <v>11</v>
      </c>
      <c r="I42" s="2" t="str">
        <f>IFERROR(__xludf.DUMMYFUNCTION("""COMPUTED_VALUE"""),"generated")</f>
        <v>generated</v>
      </c>
      <c r="J42" s="2">
        <f t="shared" si="2"/>
        <v>13</v>
      </c>
      <c r="K42" s="2">
        <f t="shared" si="3"/>
        <v>20000</v>
      </c>
      <c r="L42" s="2" t="str">
        <f t="shared" si="4"/>
        <v>P</v>
      </c>
    </row>
    <row r="43">
      <c r="A43" s="2" t="str">
        <f>IFERROR(__xludf.DUMMYFUNCTION("""COMPUTED_VALUE"""),"examples/generated/line_300")</f>
        <v>examples/generated/line_300</v>
      </c>
      <c r="B43" s="4">
        <f>IFERROR(__xludf.DUMMYFUNCTION("""COMPUTED_VALUE"""),601.0)</f>
        <v>601</v>
      </c>
      <c r="C43" s="4">
        <f>IFERROR(__xludf.DUMMYFUNCTION("""COMPUTED_VALUE"""),60.0)</f>
        <v>60</v>
      </c>
      <c r="D43" s="4">
        <f>IFERROR(__xludf.DUMMYFUNCTION("""COMPUTED_VALUE"""),11.0)</f>
        <v>11</v>
      </c>
      <c r="E43" s="4">
        <f>IFERROR(__xludf.DUMMYFUNCTION("""COMPUTED_VALUE"""),0.0)</f>
        <v>0</v>
      </c>
      <c r="F43" s="4">
        <f>IFERROR(__xludf.DUMMYFUNCTION("""COMPUTED_VALUE"""),0.0)</f>
        <v>0</v>
      </c>
      <c r="G43" s="4">
        <f>IFERROR(__xludf.DUMMYFUNCTION("""COMPUTED_VALUE"""),4.0)</f>
        <v>4</v>
      </c>
      <c r="H43" s="4">
        <f>IFERROR(__xludf.DUMMYFUNCTION("""COMPUTED_VALUE"""),0.0)</f>
        <v>0</v>
      </c>
      <c r="I43" s="2" t="str">
        <f>IFERROR(__xludf.DUMMYFUNCTION("""COMPUTED_VALUE"""),"generated")</f>
        <v>generated</v>
      </c>
      <c r="J43" s="2">
        <f t="shared" si="2"/>
        <v>8</v>
      </c>
      <c r="K43" s="2">
        <f t="shared" si="3"/>
        <v>500</v>
      </c>
      <c r="L43" s="2" t="str">
        <f t="shared" si="4"/>
        <v>BP</v>
      </c>
    </row>
    <row r="44">
      <c r="A44" s="2" t="str">
        <f>IFERROR(__xludf.DUMMYFUNCTION("""COMPUTED_VALUE"""),"examples/generated/unkrevcompleteacyclic_300")</f>
        <v>examples/generated/unkrevcompleteacyclic_300</v>
      </c>
      <c r="B44" s="4">
        <f>IFERROR(__xludf.DUMMYFUNCTION("""COMPUTED_VALUE"""),45450.0)</f>
        <v>45450</v>
      </c>
      <c r="C44" s="4">
        <f>IFERROR(__xludf.DUMMYFUNCTION("""COMPUTED_VALUE"""),60.0)</f>
        <v>60</v>
      </c>
      <c r="D44" s="4">
        <f>IFERROR(__xludf.DUMMYFUNCTION("""COMPUTED_VALUE"""),202.0)</f>
        <v>202</v>
      </c>
      <c r="E44" s="4">
        <f>IFERROR(__xludf.DUMMYFUNCTION("""COMPUTED_VALUE"""),403.0)</f>
        <v>403</v>
      </c>
      <c r="F44" s="4">
        <f>IFERROR(__xludf.DUMMYFUNCTION("""COMPUTED_VALUE"""),26.0)</f>
        <v>26</v>
      </c>
      <c r="G44" s="4">
        <f>IFERROR(__xludf.DUMMYFUNCTION("""COMPUTED_VALUE"""),15.0)</f>
        <v>15</v>
      </c>
      <c r="H44" s="4">
        <f>IFERROR(__xludf.DUMMYFUNCTION("""COMPUTED_VALUE"""),9.0)</f>
        <v>9</v>
      </c>
      <c r="I44" s="2" t="str">
        <f>IFERROR(__xludf.DUMMYFUNCTION("""COMPUTED_VALUE"""),"generated")</f>
        <v>generated</v>
      </c>
      <c r="J44" s="2">
        <f t="shared" si="2"/>
        <v>14</v>
      </c>
      <c r="K44" s="2">
        <f t="shared" si="3"/>
        <v>50000</v>
      </c>
      <c r="L44" s="2" t="str">
        <f t="shared" si="4"/>
        <v>P</v>
      </c>
    </row>
    <row r="45">
      <c r="A45" s="2" t="str">
        <f>IFERROR(__xludf.DUMMYFUNCTION("""COMPUTED_VALUE"""),"examples/generated/line_100000")</f>
        <v>examples/generated/line_100000</v>
      </c>
      <c r="B45" s="4">
        <f>IFERROR(__xludf.DUMMYFUNCTION("""COMPUTED_VALUE"""),200001.0)</f>
        <v>200001</v>
      </c>
      <c r="C45" s="4">
        <f>IFERROR(__xludf.DUMMYFUNCTION("""COMPUTED_VALUE"""),60.0)</f>
        <v>60</v>
      </c>
      <c r="D45" s="4">
        <f>IFERROR(__xludf.DUMMYFUNCTION("""COMPUTED_VALUE"""),60000.0)</f>
        <v>60000</v>
      </c>
      <c r="E45" s="4">
        <f>IFERROR(__xludf.DUMMYFUNCTION("""COMPUTED_VALUE"""),241.0)</f>
        <v>241</v>
      </c>
      <c r="F45" s="4">
        <f>IFERROR(__xludf.DUMMYFUNCTION("""COMPUTED_VALUE"""),2796.0)</f>
        <v>2796</v>
      </c>
      <c r="G45" s="4">
        <f>IFERROR(__xludf.DUMMYFUNCTION("""COMPUTED_VALUE"""),4433.0)</f>
        <v>4433</v>
      </c>
      <c r="H45" s="4">
        <f>IFERROR(__xludf.DUMMYFUNCTION("""COMPUTED_VALUE"""),128.0)</f>
        <v>128</v>
      </c>
      <c r="I45" s="2" t="str">
        <f>IFERROR(__xludf.DUMMYFUNCTION("""COMPUTED_VALUE"""),"generated")</f>
        <v>generated</v>
      </c>
      <c r="J45" s="2">
        <f t="shared" si="2"/>
        <v>16</v>
      </c>
      <c r="K45" s="2">
        <f t="shared" si="3"/>
        <v>200000</v>
      </c>
      <c r="L45" s="2" t="str">
        <f t="shared" si="4"/>
        <v>P</v>
      </c>
    </row>
    <row r="46">
      <c r="A46" s="2" t="str">
        <f>IFERROR(__xludf.DUMMYFUNCTION("""COMPUTED_VALUE"""),"examples/generated/unkline_10000")</f>
        <v>examples/generated/unkline_10000</v>
      </c>
      <c r="B46" s="4">
        <f>IFERROR(__xludf.DUMMYFUNCTION("""COMPUTED_VALUE"""),20000.0)</f>
        <v>20000</v>
      </c>
      <c r="C46" s="4">
        <f>IFERROR(__xludf.DUMMYFUNCTION("""COMPUTED_VALUE"""),60.0)</f>
        <v>60</v>
      </c>
      <c r="D46" s="4">
        <f>IFERROR(__xludf.DUMMYFUNCTION("""COMPUTED_VALUE"""),13979.0)</f>
        <v>13979</v>
      </c>
      <c r="E46" s="4">
        <f>IFERROR(__xludf.DUMMYFUNCTION("""COMPUTED_VALUE"""),11.0)</f>
        <v>11</v>
      </c>
      <c r="F46" s="4">
        <f>IFERROR(__xludf.DUMMYFUNCTION("""COMPUTED_VALUE"""),89.0)</f>
        <v>89</v>
      </c>
      <c r="G46" s="4">
        <f>IFERROR(__xludf.DUMMYFUNCTION("""COMPUTED_VALUE"""),303.0)</f>
        <v>303</v>
      </c>
      <c r="H46" s="4">
        <f>IFERROR(__xludf.DUMMYFUNCTION("""COMPUTED_VALUE"""),8.0)</f>
        <v>8</v>
      </c>
      <c r="I46" s="2" t="str">
        <f>IFERROR(__xludf.DUMMYFUNCTION("""COMPUTED_VALUE"""),"generated")</f>
        <v>generated</v>
      </c>
      <c r="J46" s="2">
        <f t="shared" si="2"/>
        <v>13</v>
      </c>
      <c r="K46" s="2">
        <f t="shared" si="3"/>
        <v>20000</v>
      </c>
      <c r="L46" s="2" t="str">
        <f t="shared" si="4"/>
        <v>P</v>
      </c>
    </row>
    <row r="47">
      <c r="A47" s="2" t="str">
        <f>IFERROR(__xludf.DUMMYFUNCTION("""COMPUTED_VALUE"""),"examples/generated/reverseunkloop_30000")</f>
        <v>examples/generated/reverseunkloop_30000</v>
      </c>
      <c r="B47" s="4">
        <f>IFERROR(__xludf.DUMMYFUNCTION("""COMPUTED_VALUE"""),60001.0)</f>
        <v>60001</v>
      </c>
      <c r="C47" s="4">
        <f>IFERROR(__xludf.DUMMYFUNCTION("""COMPUTED_VALUE"""),60.0)</f>
        <v>60</v>
      </c>
      <c r="D47" s="4">
        <f>IFERROR(__xludf.DUMMYFUNCTION("""COMPUTED_VALUE"""),60000.0)</f>
        <v>60000</v>
      </c>
      <c r="E47" s="4">
        <f>IFERROR(__xludf.DUMMYFUNCTION("""COMPUTED_VALUE"""),60000.0)</f>
        <v>60000</v>
      </c>
      <c r="F47" s="4">
        <f>IFERROR(__xludf.DUMMYFUNCTION("""COMPUTED_VALUE"""),100.0)</f>
        <v>100</v>
      </c>
      <c r="G47" s="4">
        <f>IFERROR(__xludf.DUMMYFUNCTION("""COMPUTED_VALUE"""),1157.0)</f>
        <v>1157</v>
      </c>
      <c r="H47" s="4">
        <f>IFERROR(__xludf.DUMMYFUNCTION("""COMPUTED_VALUE"""),232.0)</f>
        <v>232</v>
      </c>
      <c r="I47" s="2" t="str">
        <f>IFERROR(__xludf.DUMMYFUNCTION("""COMPUTED_VALUE"""),"generated")</f>
        <v>generated</v>
      </c>
      <c r="J47" s="2">
        <f t="shared" si="2"/>
        <v>14</v>
      </c>
      <c r="K47" s="2">
        <f t="shared" si="3"/>
        <v>50000</v>
      </c>
      <c r="L47" s="2" t="str">
        <f t="shared" si="4"/>
        <v>B</v>
      </c>
    </row>
    <row r="48">
      <c r="A48" s="2" t="str">
        <f>IFERROR(__xludf.DUMMYFUNCTION("""COMPUTED_VALUE"""),"examples/generated/unkrevcompleteacyclic_1000")</f>
        <v>examples/generated/unkrevcompleteacyclic_1000</v>
      </c>
      <c r="B48" s="4">
        <f>IFERROR(__xludf.DUMMYFUNCTION("""COMPUTED_VALUE"""),501500.0)</f>
        <v>501500</v>
      </c>
      <c r="C48" s="4">
        <f>IFERROR(__xludf.DUMMYFUNCTION("""COMPUTED_VALUE"""),60.0)</f>
        <v>60</v>
      </c>
      <c r="D48" s="4">
        <f>IFERROR(__xludf.DUMMYFUNCTION("""COMPUTED_VALUE"""),7427.0)</f>
        <v>7427</v>
      </c>
      <c r="E48" s="4">
        <f>IFERROR(__xludf.DUMMYFUNCTION("""COMPUTED_VALUE"""),14811.0)</f>
        <v>14811</v>
      </c>
      <c r="F48" s="4">
        <f>IFERROR(__xludf.DUMMYFUNCTION("""COMPUTED_VALUE"""),288.0)</f>
        <v>288</v>
      </c>
      <c r="G48" s="4">
        <f>IFERROR(__xludf.DUMMYFUNCTION("""COMPUTED_VALUE"""),141.0)</f>
        <v>141</v>
      </c>
      <c r="H48" s="4">
        <f>IFERROR(__xludf.DUMMYFUNCTION("""COMPUTED_VALUE"""),113.0)</f>
        <v>113</v>
      </c>
      <c r="I48" s="2" t="str">
        <f>IFERROR(__xludf.DUMMYFUNCTION("""COMPUTED_VALUE"""),"generated")</f>
        <v>generated</v>
      </c>
      <c r="J48" s="2">
        <f t="shared" si="2"/>
        <v>17</v>
      </c>
      <c r="K48" s="2">
        <f t="shared" si="3"/>
        <v>500000</v>
      </c>
      <c r="L48" s="2" t="str">
        <f t="shared" si="4"/>
        <v>P</v>
      </c>
    </row>
    <row r="49">
      <c r="A49" s="2" t="str">
        <f>IFERROR(__xludf.DUMMYFUNCTION("""COMPUTED_VALUE"""),"examples/generated/revcompleteacyclic_300")</f>
        <v>examples/generated/revcompleteacyclic_300</v>
      </c>
      <c r="B49" s="4">
        <f>IFERROR(__xludf.DUMMYFUNCTION("""COMPUTED_VALUE"""),45150.0)</f>
        <v>45150</v>
      </c>
      <c r="C49" s="4">
        <f>IFERROR(__xludf.DUMMYFUNCTION("""COMPUTED_VALUE"""),60.0)</f>
        <v>60</v>
      </c>
      <c r="D49" s="4">
        <f>IFERROR(__xludf.DUMMYFUNCTION("""COMPUTED_VALUE"""),14.0)</f>
        <v>14</v>
      </c>
      <c r="E49" s="4">
        <f>IFERROR(__xludf.DUMMYFUNCTION("""COMPUTED_VALUE"""),279.0)</f>
        <v>279</v>
      </c>
      <c r="F49" s="4">
        <f>IFERROR(__xludf.DUMMYFUNCTION("""COMPUTED_VALUE"""),27.0)</f>
        <v>27</v>
      </c>
      <c r="G49" s="4">
        <f>IFERROR(__xludf.DUMMYFUNCTION("""COMPUTED_VALUE"""),13.0)</f>
        <v>13</v>
      </c>
      <c r="H49" s="4">
        <f>IFERROR(__xludf.DUMMYFUNCTION("""COMPUTED_VALUE"""),13.0)</f>
        <v>13</v>
      </c>
      <c r="I49" s="2" t="str">
        <f>IFERROR(__xludf.DUMMYFUNCTION("""COMPUTED_VALUE"""),"generated")</f>
        <v>generated</v>
      </c>
      <c r="J49" s="2">
        <f t="shared" si="2"/>
        <v>14</v>
      </c>
      <c r="K49" s="2">
        <f t="shared" si="3"/>
        <v>50000</v>
      </c>
      <c r="L49" s="2" t="str">
        <f t="shared" si="4"/>
        <v>JP</v>
      </c>
    </row>
    <row r="50">
      <c r="A50" s="2" t="str">
        <f>IFERROR(__xludf.DUMMYFUNCTION("""COMPUTED_VALUE"""),"examples/generated/unkline_300")</f>
        <v>examples/generated/unkline_300</v>
      </c>
      <c r="B50" s="4">
        <f>IFERROR(__xludf.DUMMYFUNCTION("""COMPUTED_VALUE"""),600.0)</f>
        <v>600</v>
      </c>
      <c r="C50" s="4">
        <f>IFERROR(__xludf.DUMMYFUNCTION("""COMPUTED_VALUE"""),60.0)</f>
        <v>60</v>
      </c>
      <c r="D50" s="4">
        <f>IFERROR(__xludf.DUMMYFUNCTION("""COMPUTED_VALUE"""),11.0)</f>
        <v>11</v>
      </c>
      <c r="E50" s="4">
        <f>IFERROR(__xludf.DUMMYFUNCTION("""COMPUTED_VALUE"""),0.0)</f>
        <v>0</v>
      </c>
      <c r="F50" s="4">
        <f>IFERROR(__xludf.DUMMYFUNCTION("""COMPUTED_VALUE"""),0.0)</f>
        <v>0</v>
      </c>
      <c r="G50" s="4">
        <f>IFERROR(__xludf.DUMMYFUNCTION("""COMPUTED_VALUE"""),4.0)</f>
        <v>4</v>
      </c>
      <c r="H50" s="4">
        <f>IFERROR(__xludf.DUMMYFUNCTION("""COMPUTED_VALUE"""),0.0)</f>
        <v>0</v>
      </c>
      <c r="I50" s="2" t="str">
        <f>IFERROR(__xludf.DUMMYFUNCTION("""COMPUTED_VALUE"""),"generated")</f>
        <v>generated</v>
      </c>
      <c r="J50" s="2">
        <f t="shared" si="2"/>
        <v>8</v>
      </c>
      <c r="K50" s="2">
        <f t="shared" si="3"/>
        <v>500</v>
      </c>
      <c r="L50" s="2" t="str">
        <f t="shared" si="4"/>
        <v>BP</v>
      </c>
    </row>
    <row r="51">
      <c r="A51" s="2" t="str">
        <f>IFERROR(__xludf.DUMMYFUNCTION("""COMPUTED_VALUE"""),"examples/generated/unkcompleteacyclic_100")</f>
        <v>examples/generated/unkcompleteacyclic_100</v>
      </c>
      <c r="B51" s="4">
        <f>IFERROR(__xludf.DUMMYFUNCTION("""COMPUTED_VALUE"""),5150.0)</f>
        <v>5150</v>
      </c>
      <c r="C51" s="4">
        <f>IFERROR(__xludf.DUMMYFUNCTION("""COMPUTED_VALUE"""),60.0)</f>
        <v>60</v>
      </c>
      <c r="D51" s="4">
        <f>IFERROR(__xludf.DUMMYFUNCTION("""COMPUTED_VALUE"""),195.0)</f>
        <v>195</v>
      </c>
      <c r="E51" s="4">
        <f>IFERROR(__xludf.DUMMYFUNCTION("""COMPUTED_VALUE"""),1.0)</f>
        <v>1</v>
      </c>
      <c r="F51" s="4">
        <f>IFERROR(__xludf.DUMMYFUNCTION("""COMPUTED_VALUE"""),274.0)</f>
        <v>274</v>
      </c>
      <c r="G51" s="4">
        <f>IFERROR(__xludf.DUMMYFUNCTION("""COMPUTED_VALUE"""),2.0)</f>
        <v>2</v>
      </c>
      <c r="H51" s="4">
        <f>IFERROR(__xludf.DUMMYFUNCTION("""COMPUTED_VALUE"""),1.0)</f>
        <v>1</v>
      </c>
      <c r="I51" s="2" t="str">
        <f>IFERROR(__xludf.DUMMYFUNCTION("""COMPUTED_VALUE"""),"generated")</f>
        <v>generated</v>
      </c>
      <c r="J51" s="2">
        <f t="shared" si="2"/>
        <v>11</v>
      </c>
      <c r="K51" s="2">
        <f t="shared" si="3"/>
        <v>5000</v>
      </c>
      <c r="L51" s="2" t="str">
        <f t="shared" si="4"/>
        <v>P</v>
      </c>
    </row>
    <row r="52">
      <c r="A52" s="2" t="str">
        <f>IFERROR(__xludf.DUMMYFUNCTION("""COMPUTED_VALUE"""),"examples/generated/reverseloop_100000")</f>
        <v>examples/generated/reverseloop_100000</v>
      </c>
      <c r="B52" s="4">
        <f>IFERROR(__xludf.DUMMYFUNCTION("""COMPUTED_VALUE"""),200000.0)</f>
        <v>200000</v>
      </c>
      <c r="C52" s="4">
        <f>IFERROR(__xludf.DUMMYFUNCTION("""COMPUTED_VALUE"""),60.0)</f>
        <v>60</v>
      </c>
      <c r="D52" s="4">
        <f>IFERROR(__xludf.DUMMYFUNCTION("""COMPUTED_VALUE"""),60000.0)</f>
        <v>60000</v>
      </c>
      <c r="E52" s="4">
        <f>IFERROR(__xludf.DUMMYFUNCTION("""COMPUTED_VALUE"""),60000.0)</f>
        <v>60000</v>
      </c>
      <c r="F52" s="4">
        <f>IFERROR(__xludf.DUMMYFUNCTION("""COMPUTED_VALUE"""),371.0)</f>
        <v>371</v>
      </c>
      <c r="G52" s="4">
        <f>IFERROR(__xludf.DUMMYFUNCTION("""COMPUTED_VALUE"""),4520.0)</f>
        <v>4520</v>
      </c>
      <c r="H52" s="4">
        <f>IFERROR(__xludf.DUMMYFUNCTION("""COMPUTED_VALUE"""),929.0)</f>
        <v>929</v>
      </c>
      <c r="I52" s="2" t="str">
        <f>IFERROR(__xludf.DUMMYFUNCTION("""COMPUTED_VALUE"""),"generated")</f>
        <v>generated</v>
      </c>
      <c r="J52" s="2">
        <f t="shared" si="2"/>
        <v>16</v>
      </c>
      <c r="K52" s="2">
        <f t="shared" si="3"/>
        <v>200000</v>
      </c>
      <c r="L52" s="2" t="str">
        <f t="shared" si="4"/>
        <v>B</v>
      </c>
    </row>
    <row r="53">
      <c r="A53" s="2" t="str">
        <f>IFERROR(__xludf.DUMMYFUNCTION("""COMPUTED_VALUE"""),"examples/generated/line_1000")</f>
        <v>examples/generated/line_1000</v>
      </c>
      <c r="B53" s="4">
        <f>IFERROR(__xludf.DUMMYFUNCTION("""COMPUTED_VALUE"""),2001.0)</f>
        <v>2001</v>
      </c>
      <c r="C53" s="4">
        <f>IFERROR(__xludf.DUMMYFUNCTION("""COMPUTED_VALUE"""),60.0)</f>
        <v>60</v>
      </c>
      <c r="D53" s="4">
        <f>IFERROR(__xludf.DUMMYFUNCTION("""COMPUTED_VALUE"""),130.0)</f>
        <v>130</v>
      </c>
      <c r="E53" s="4">
        <f>IFERROR(__xludf.DUMMYFUNCTION("""COMPUTED_VALUE"""),1.0)</f>
        <v>1</v>
      </c>
      <c r="F53" s="4">
        <f>IFERROR(__xludf.DUMMYFUNCTION("""COMPUTED_VALUE"""),4.0)</f>
        <v>4</v>
      </c>
      <c r="G53" s="4">
        <f>IFERROR(__xludf.DUMMYFUNCTION("""COMPUTED_VALUE"""),20.0)</f>
        <v>20</v>
      </c>
      <c r="H53" s="4">
        <f>IFERROR(__xludf.DUMMYFUNCTION("""COMPUTED_VALUE"""),1.0)</f>
        <v>1</v>
      </c>
      <c r="I53" s="2" t="str">
        <f>IFERROR(__xludf.DUMMYFUNCTION("""COMPUTED_VALUE"""),"generated")</f>
        <v>generated</v>
      </c>
      <c r="J53" s="2">
        <f t="shared" si="2"/>
        <v>10</v>
      </c>
      <c r="K53" s="2">
        <f t="shared" si="3"/>
        <v>2000</v>
      </c>
      <c r="L53" s="2" t="str">
        <f t="shared" si="4"/>
        <v>P</v>
      </c>
    </row>
    <row r="54">
      <c r="A54" s="2" t="str">
        <f>IFERROR(__xludf.DUMMYFUNCTION("""COMPUTED_VALUE"""),"examples/generated/bipartite_100_100")</f>
        <v>examples/generated/bipartite_100_100</v>
      </c>
      <c r="B54" s="4">
        <f>IFERROR(__xludf.DUMMYFUNCTION("""COMPUTED_VALUE"""),10200.0)</f>
        <v>10200</v>
      </c>
      <c r="C54" s="4">
        <f>IFERROR(__xludf.DUMMYFUNCTION("""COMPUTED_VALUE"""),60.0)</f>
        <v>60</v>
      </c>
      <c r="D54" s="4">
        <f>IFERROR(__xludf.DUMMYFUNCTION("""COMPUTED_VALUE"""),122.0)</f>
        <v>122</v>
      </c>
      <c r="E54" s="4">
        <f>IFERROR(__xludf.DUMMYFUNCTION("""COMPUTED_VALUE"""),30.0)</f>
        <v>30</v>
      </c>
      <c r="F54" s="4">
        <f>IFERROR(__xludf.DUMMYFUNCTION("""COMPUTED_VALUE"""),32.0)</f>
        <v>32</v>
      </c>
      <c r="G54" s="4">
        <f>IFERROR(__xludf.DUMMYFUNCTION("""COMPUTED_VALUE"""),6.0)</f>
        <v>6</v>
      </c>
      <c r="H54" s="4">
        <f>IFERROR(__xludf.DUMMYFUNCTION("""COMPUTED_VALUE"""),4.0)</f>
        <v>4</v>
      </c>
      <c r="I54" s="2" t="str">
        <f>IFERROR(__xludf.DUMMYFUNCTION("""COMPUTED_VALUE"""),"generated")</f>
        <v>generated</v>
      </c>
      <c r="J54" s="2">
        <f t="shared" si="2"/>
        <v>12</v>
      </c>
      <c r="K54" s="2">
        <f t="shared" si="3"/>
        <v>10000</v>
      </c>
      <c r="L54" s="2" t="str">
        <f t="shared" si="4"/>
        <v>P</v>
      </c>
    </row>
    <row r="55">
      <c r="A55" s="2" t="str">
        <f>IFERROR(__xludf.DUMMYFUNCTION("""COMPUTED_VALUE"""),"examples/generated/reverseline_100000")</f>
        <v>examples/generated/reverseline_100000</v>
      </c>
      <c r="B55" s="4">
        <f>IFERROR(__xludf.DUMMYFUNCTION("""COMPUTED_VALUE"""),200001.0)</f>
        <v>200001</v>
      </c>
      <c r="C55" s="4">
        <f>IFERROR(__xludf.DUMMYFUNCTION("""COMPUTED_VALUE"""),60.0)</f>
        <v>60</v>
      </c>
      <c r="D55" s="4">
        <f>IFERROR(__xludf.DUMMYFUNCTION("""COMPUTED_VALUE"""),60000.0)</f>
        <v>60000</v>
      </c>
      <c r="E55" s="4">
        <f>IFERROR(__xludf.DUMMYFUNCTION("""COMPUTED_VALUE"""),60000.0)</f>
        <v>60000</v>
      </c>
      <c r="F55" s="4">
        <f>IFERROR(__xludf.DUMMYFUNCTION("""COMPUTED_VALUE"""),186.0)</f>
        <v>186</v>
      </c>
      <c r="G55" s="4">
        <f>IFERROR(__xludf.DUMMYFUNCTION("""COMPUTED_VALUE"""),4482.0)</f>
        <v>4482</v>
      </c>
      <c r="H55" s="4">
        <f>IFERROR(__xludf.DUMMYFUNCTION("""COMPUTED_VALUE"""),919.0)</f>
        <v>919</v>
      </c>
      <c r="I55" s="2" t="str">
        <f>IFERROR(__xludf.DUMMYFUNCTION("""COMPUTED_VALUE"""),"generated")</f>
        <v>generated</v>
      </c>
      <c r="J55" s="2">
        <f t="shared" si="2"/>
        <v>16</v>
      </c>
      <c r="K55" s="2">
        <f t="shared" si="3"/>
        <v>200000</v>
      </c>
      <c r="L55" s="2" t="str">
        <f t="shared" si="4"/>
        <v>B</v>
      </c>
    </row>
    <row r="56">
      <c r="A56" s="2" t="str">
        <f>IFERROR(__xludf.DUMMYFUNCTION("""COMPUTED_VALUE"""),"examples/generated/reverseline_300")</f>
        <v>examples/generated/reverseline_300</v>
      </c>
      <c r="B56" s="4">
        <f>IFERROR(__xludf.DUMMYFUNCTION("""COMPUTED_VALUE"""),601.0)</f>
        <v>601</v>
      </c>
      <c r="C56" s="4">
        <f>IFERROR(__xludf.DUMMYFUNCTION("""COMPUTED_VALUE"""),60.0)</f>
        <v>60</v>
      </c>
      <c r="D56" s="4">
        <f>IFERROR(__xludf.DUMMYFUNCTION("""COMPUTED_VALUE"""),11.0)</f>
        <v>11</v>
      </c>
      <c r="E56" s="4">
        <f>IFERROR(__xludf.DUMMYFUNCTION("""COMPUTED_VALUE"""),8.0)</f>
        <v>8</v>
      </c>
      <c r="F56" s="4">
        <f>IFERROR(__xludf.DUMMYFUNCTION("""COMPUTED_VALUE"""),0.0)</f>
        <v>0</v>
      </c>
      <c r="G56" s="4">
        <f>IFERROR(__xludf.DUMMYFUNCTION("""COMPUTED_VALUE"""),4.0)</f>
        <v>4</v>
      </c>
      <c r="H56" s="4">
        <f>IFERROR(__xludf.DUMMYFUNCTION("""COMPUTED_VALUE"""),1.0)</f>
        <v>1</v>
      </c>
      <c r="I56" s="2" t="str">
        <f>IFERROR(__xludf.DUMMYFUNCTION("""COMPUTED_VALUE"""),"generated")</f>
        <v>generated</v>
      </c>
      <c r="J56" s="2">
        <f t="shared" si="2"/>
        <v>8</v>
      </c>
      <c r="K56" s="2">
        <f t="shared" si="3"/>
        <v>500</v>
      </c>
      <c r="L56" s="2" t="str">
        <f t="shared" si="4"/>
        <v>B</v>
      </c>
    </row>
    <row r="57">
      <c r="A57" s="2" t="str">
        <f>IFERROR(__xludf.DUMMYFUNCTION("""COMPUTED_VALUE"""),"examples/generated/reverseloop_1000")</f>
        <v>examples/generated/reverseloop_1000</v>
      </c>
      <c r="B57" s="4">
        <f>IFERROR(__xludf.DUMMYFUNCTION("""COMPUTED_VALUE"""),2000.0)</f>
        <v>2000</v>
      </c>
      <c r="C57" s="4">
        <f>IFERROR(__xludf.DUMMYFUNCTION("""COMPUTED_VALUE"""),60.0)</f>
        <v>60</v>
      </c>
      <c r="D57" s="4">
        <f>IFERROR(__xludf.DUMMYFUNCTION("""COMPUTED_VALUE"""),130.0)</f>
        <v>130</v>
      </c>
      <c r="E57" s="4">
        <f>IFERROR(__xludf.DUMMYFUNCTION("""COMPUTED_VALUE"""),94.0)</f>
        <v>94</v>
      </c>
      <c r="F57" s="4">
        <f>IFERROR(__xludf.DUMMYFUNCTION("""COMPUTED_VALUE"""),1.0)</f>
        <v>1</v>
      </c>
      <c r="G57" s="4">
        <f>IFERROR(__xludf.DUMMYFUNCTION("""COMPUTED_VALUE"""),20.0)</f>
        <v>20</v>
      </c>
      <c r="H57" s="4">
        <f>IFERROR(__xludf.DUMMYFUNCTION("""COMPUTED_VALUE"""),5.0)</f>
        <v>5</v>
      </c>
      <c r="I57" s="2" t="str">
        <f>IFERROR(__xludf.DUMMYFUNCTION("""COMPUTED_VALUE"""),"generated")</f>
        <v>generated</v>
      </c>
      <c r="J57" s="2">
        <f t="shared" si="2"/>
        <v>10</v>
      </c>
      <c r="K57" s="2">
        <f t="shared" si="3"/>
        <v>2000</v>
      </c>
      <c r="L57" s="2" t="str">
        <f t="shared" si="4"/>
        <v>B</v>
      </c>
    </row>
    <row r="58">
      <c r="A58" s="2" t="str">
        <f>IFERROR(__xludf.DUMMYFUNCTION("""COMPUTED_VALUE"""),"examples/generated/revcompleteacyclic_1000")</f>
        <v>examples/generated/revcompleteacyclic_1000</v>
      </c>
      <c r="B58" s="4">
        <f>IFERROR(__xludf.DUMMYFUNCTION("""COMPUTED_VALUE"""),500500.0)</f>
        <v>500500</v>
      </c>
      <c r="C58" s="4">
        <f>IFERROR(__xludf.DUMMYFUNCTION("""COMPUTED_VALUE"""),60.0)</f>
        <v>60</v>
      </c>
      <c r="D58" s="4">
        <f>IFERROR(__xludf.DUMMYFUNCTION("""COMPUTED_VALUE"""),166.0)</f>
        <v>166</v>
      </c>
      <c r="E58" s="4">
        <f>IFERROR(__xludf.DUMMYFUNCTION("""COMPUTED_VALUE"""),10151.0)</f>
        <v>10151</v>
      </c>
      <c r="F58" s="4">
        <f>IFERROR(__xludf.DUMMYFUNCTION("""COMPUTED_VALUE"""),313.0)</f>
        <v>313</v>
      </c>
      <c r="G58" s="4">
        <f>IFERROR(__xludf.DUMMYFUNCTION("""COMPUTED_VALUE"""),155.0)</f>
        <v>155</v>
      </c>
      <c r="H58" s="4">
        <f>IFERROR(__xludf.DUMMYFUNCTION("""COMPUTED_VALUE"""),146.0)</f>
        <v>146</v>
      </c>
      <c r="I58" s="2" t="str">
        <f>IFERROR(__xludf.DUMMYFUNCTION("""COMPUTED_VALUE"""),"generated")</f>
        <v>generated</v>
      </c>
      <c r="J58" s="2">
        <f t="shared" si="2"/>
        <v>17</v>
      </c>
      <c r="K58" s="2">
        <f t="shared" si="3"/>
        <v>500000</v>
      </c>
      <c r="L58" s="2" t="str">
        <f t="shared" si="4"/>
        <v>P</v>
      </c>
    </row>
    <row r="59">
      <c r="A59" s="2" t="str">
        <f>IFERROR(__xludf.DUMMYFUNCTION("""COMPUTED_VALUE"""),"examples/generated/reverseunkloop_3000")</f>
        <v>examples/generated/reverseunkloop_3000</v>
      </c>
      <c r="B59" s="4">
        <f>IFERROR(__xludf.DUMMYFUNCTION("""COMPUTED_VALUE"""),6001.0)</f>
        <v>6001</v>
      </c>
      <c r="C59" s="4">
        <f>IFERROR(__xludf.DUMMYFUNCTION("""COMPUTED_VALUE"""),60.0)</f>
        <v>60</v>
      </c>
      <c r="D59" s="4">
        <f>IFERROR(__xludf.DUMMYFUNCTION("""COMPUTED_VALUE"""),1200.0)</f>
        <v>1200</v>
      </c>
      <c r="E59" s="4">
        <f>IFERROR(__xludf.DUMMYFUNCTION("""COMPUTED_VALUE"""),866.0)</f>
        <v>866</v>
      </c>
      <c r="F59" s="4">
        <f>IFERROR(__xludf.DUMMYFUNCTION("""COMPUTED_VALUE"""),5.0)</f>
        <v>5</v>
      </c>
      <c r="G59" s="4">
        <f>IFERROR(__xludf.DUMMYFUNCTION("""COMPUTED_VALUE"""),74.0)</f>
        <v>74</v>
      </c>
      <c r="H59" s="4">
        <f>IFERROR(__xludf.DUMMYFUNCTION("""COMPUTED_VALUE"""),17.0)</f>
        <v>17</v>
      </c>
      <c r="I59" s="2" t="str">
        <f>IFERROR(__xludf.DUMMYFUNCTION("""COMPUTED_VALUE"""),"generated")</f>
        <v>generated</v>
      </c>
      <c r="J59" s="2">
        <f t="shared" si="2"/>
        <v>11</v>
      </c>
      <c r="K59" s="2">
        <f t="shared" si="3"/>
        <v>5000</v>
      </c>
      <c r="L59" s="2" t="str">
        <f t="shared" si="4"/>
        <v>B</v>
      </c>
    </row>
    <row r="60">
      <c r="A60" s="2" t="str">
        <f>IFERROR(__xludf.DUMMYFUNCTION("""COMPUTED_VALUE"""),"examples/generated/reverseunkline_300")</f>
        <v>examples/generated/reverseunkline_300</v>
      </c>
      <c r="B60" s="4">
        <f>IFERROR(__xludf.DUMMYFUNCTION("""COMPUTED_VALUE"""),600.0)</f>
        <v>600</v>
      </c>
      <c r="C60" s="4">
        <f>IFERROR(__xludf.DUMMYFUNCTION("""COMPUTED_VALUE"""),60.0)</f>
        <v>60</v>
      </c>
      <c r="D60" s="4">
        <f>IFERROR(__xludf.DUMMYFUNCTION("""COMPUTED_VALUE"""),11.0)</f>
        <v>11</v>
      </c>
      <c r="E60" s="4">
        <f>IFERROR(__xludf.DUMMYFUNCTION("""COMPUTED_VALUE"""),8.0)</f>
        <v>8</v>
      </c>
      <c r="F60" s="4">
        <f>IFERROR(__xludf.DUMMYFUNCTION("""COMPUTED_VALUE"""),0.0)</f>
        <v>0</v>
      </c>
      <c r="G60" s="4">
        <f>IFERROR(__xludf.DUMMYFUNCTION("""COMPUTED_VALUE"""),4.0)</f>
        <v>4</v>
      </c>
      <c r="H60" s="4">
        <f>IFERROR(__xludf.DUMMYFUNCTION("""COMPUTED_VALUE"""),1.0)</f>
        <v>1</v>
      </c>
      <c r="I60" s="2" t="str">
        <f>IFERROR(__xludf.DUMMYFUNCTION("""COMPUTED_VALUE"""),"generated")</f>
        <v>generated</v>
      </c>
      <c r="J60" s="2">
        <f t="shared" si="2"/>
        <v>8</v>
      </c>
      <c r="K60" s="2">
        <f t="shared" si="3"/>
        <v>500</v>
      </c>
      <c r="L60" s="2" t="str">
        <f t="shared" si="4"/>
        <v>B</v>
      </c>
    </row>
    <row r="61">
      <c r="A61" s="2" t="str">
        <f>IFERROR(__xludf.DUMMYFUNCTION("""COMPUTED_VALUE"""),"examples/generated/bipartite_1000_1000")</f>
        <v>examples/generated/bipartite_1000_1000</v>
      </c>
      <c r="B61" s="4">
        <f>IFERROR(__xludf.DUMMYFUNCTION("""COMPUTED_VALUE"""),1002000.0)</f>
        <v>1002000</v>
      </c>
      <c r="C61" s="4">
        <f>IFERROR(__xludf.DUMMYFUNCTION("""COMPUTED_VALUE"""),60.0)</f>
        <v>60</v>
      </c>
      <c r="D61" s="4">
        <f>IFERROR(__xludf.DUMMYFUNCTION("""COMPUTED_VALUE"""),60000.0)</f>
        <v>60000</v>
      </c>
      <c r="E61" s="4">
        <f>IFERROR(__xludf.DUMMYFUNCTION("""COMPUTED_VALUE"""),27828.0)</f>
        <v>27828</v>
      </c>
      <c r="F61" s="4">
        <f>IFERROR(__xludf.DUMMYFUNCTION("""COMPUTED_VALUE"""),28287.0)</f>
        <v>28287</v>
      </c>
      <c r="G61" s="4">
        <f>IFERROR(__xludf.DUMMYFUNCTION("""COMPUTED_VALUE"""),484.0)</f>
        <v>484</v>
      </c>
      <c r="H61" s="4">
        <f>IFERROR(__xludf.DUMMYFUNCTION("""COMPUTED_VALUE"""),435.0)</f>
        <v>435</v>
      </c>
      <c r="I61" s="2" t="str">
        <f>IFERROR(__xludf.DUMMYFUNCTION("""COMPUTED_VALUE"""),"generated")</f>
        <v>generated</v>
      </c>
      <c r="J61" s="2">
        <f t="shared" si="2"/>
        <v>18</v>
      </c>
      <c r="K61" s="2">
        <f t="shared" si="3"/>
        <v>1000000</v>
      </c>
      <c r="L61" s="2" t="str">
        <f t="shared" si="4"/>
        <v>P</v>
      </c>
    </row>
    <row r="62">
      <c r="A62" s="2" t="str">
        <f>IFERROR(__xludf.DUMMYFUNCTION("""COMPUTED_VALUE"""),"examples/generated/unkloop_1000")</f>
        <v>examples/generated/unkloop_1000</v>
      </c>
      <c r="B62" s="4">
        <f>IFERROR(__xludf.DUMMYFUNCTION("""COMPUTED_VALUE"""),2001.0)</f>
        <v>2001</v>
      </c>
      <c r="C62" s="4">
        <f>IFERROR(__xludf.DUMMYFUNCTION("""COMPUTED_VALUE"""),60.0)</f>
        <v>60</v>
      </c>
      <c r="D62" s="4">
        <f>IFERROR(__xludf.DUMMYFUNCTION("""COMPUTED_VALUE"""),130.0)</f>
        <v>130</v>
      </c>
      <c r="E62" s="4">
        <f>IFERROR(__xludf.DUMMYFUNCTION("""COMPUTED_VALUE"""),1.0)</f>
        <v>1</v>
      </c>
      <c r="F62" s="4">
        <f>IFERROR(__xludf.DUMMYFUNCTION("""COMPUTED_VALUE"""),4.0)</f>
        <v>4</v>
      </c>
      <c r="G62" s="4">
        <f>IFERROR(__xludf.DUMMYFUNCTION("""COMPUTED_VALUE"""),19.0)</f>
        <v>19</v>
      </c>
      <c r="H62" s="4">
        <f>IFERROR(__xludf.DUMMYFUNCTION("""COMPUTED_VALUE"""),0.0)</f>
        <v>0</v>
      </c>
      <c r="I62" s="2" t="str">
        <f>IFERROR(__xludf.DUMMYFUNCTION("""COMPUTED_VALUE"""),"generated")</f>
        <v>generated</v>
      </c>
      <c r="J62" s="2">
        <f t="shared" si="2"/>
        <v>10</v>
      </c>
      <c r="K62" s="2">
        <f t="shared" si="3"/>
        <v>2000</v>
      </c>
      <c r="L62" s="2" t="str">
        <f t="shared" si="4"/>
        <v>P</v>
      </c>
    </row>
    <row r="63">
      <c r="A63" s="2" t="str">
        <f>IFERROR(__xludf.DUMMYFUNCTION("""COMPUTED_VALUE"""),"examples/generated/bipartite_300_10")</f>
        <v>examples/generated/bipartite_300_10</v>
      </c>
      <c r="B63" s="4">
        <f>IFERROR(__xludf.DUMMYFUNCTION("""COMPUTED_VALUE"""),3310.0)</f>
        <v>3310</v>
      </c>
      <c r="C63" s="4">
        <f>IFERROR(__xludf.DUMMYFUNCTION("""COMPUTED_VALUE"""),60.0)</f>
        <v>60</v>
      </c>
      <c r="D63" s="4">
        <f>IFERROR(__xludf.DUMMYFUNCTION("""COMPUTED_VALUE"""),61.0)</f>
        <v>61</v>
      </c>
      <c r="E63" s="4">
        <f>IFERROR(__xludf.DUMMYFUNCTION("""COMPUTED_VALUE"""),2.0)</f>
        <v>2</v>
      </c>
      <c r="F63" s="4">
        <f>IFERROR(__xludf.DUMMYFUNCTION("""COMPUTED_VALUE"""),3.0)</f>
        <v>3</v>
      </c>
      <c r="G63" s="4">
        <f>IFERROR(__xludf.DUMMYFUNCTION("""COMPUTED_VALUE"""),12.0)</f>
        <v>12</v>
      </c>
      <c r="H63" s="4">
        <f>IFERROR(__xludf.DUMMYFUNCTION("""COMPUTED_VALUE"""),1.0)</f>
        <v>1</v>
      </c>
      <c r="I63" s="2" t="str">
        <f>IFERROR(__xludf.DUMMYFUNCTION("""COMPUTED_VALUE"""),"generated")</f>
        <v>generated</v>
      </c>
      <c r="J63" s="2">
        <f t="shared" si="2"/>
        <v>11</v>
      </c>
      <c r="K63" s="2">
        <f t="shared" si="3"/>
        <v>5000</v>
      </c>
      <c r="L63" s="2" t="str">
        <f t="shared" si="4"/>
        <v>P</v>
      </c>
    </row>
    <row r="64">
      <c r="A64" s="2" t="str">
        <f>IFERROR(__xludf.DUMMYFUNCTION("""COMPUTED_VALUE"""),"examples/generated/unkbipartite_100_100")</f>
        <v>examples/generated/unkbipartite_100_100</v>
      </c>
      <c r="B64" s="4">
        <f>IFERROR(__xludf.DUMMYFUNCTION("""COMPUTED_VALUE"""),10300.0)</f>
        <v>10300</v>
      </c>
      <c r="C64" s="4">
        <f>IFERROR(__xludf.DUMMYFUNCTION("""COMPUTED_VALUE"""),60.0)</f>
        <v>60</v>
      </c>
      <c r="D64" s="4">
        <f>IFERROR(__xludf.DUMMYFUNCTION("""COMPUTED_VALUE"""),125.0)</f>
        <v>125</v>
      </c>
      <c r="E64" s="4">
        <f>IFERROR(__xludf.DUMMYFUNCTION("""COMPUTED_VALUE"""),30.0)</f>
        <v>30</v>
      </c>
      <c r="F64" s="4">
        <f>IFERROR(__xludf.DUMMYFUNCTION("""COMPUTED_VALUE"""),32.0)</f>
        <v>32</v>
      </c>
      <c r="G64" s="4">
        <f>IFERROR(__xludf.DUMMYFUNCTION("""COMPUTED_VALUE"""),4.0)</f>
        <v>4</v>
      </c>
      <c r="H64" s="4">
        <f>IFERROR(__xludf.DUMMYFUNCTION("""COMPUTED_VALUE"""),3.0)</f>
        <v>3</v>
      </c>
      <c r="I64" s="2" t="str">
        <f>IFERROR(__xludf.DUMMYFUNCTION("""COMPUTED_VALUE"""),"generated")</f>
        <v>generated</v>
      </c>
      <c r="J64" s="2">
        <f t="shared" si="2"/>
        <v>12</v>
      </c>
      <c r="K64" s="2">
        <f t="shared" si="3"/>
        <v>10000</v>
      </c>
      <c r="L64" s="2" t="str">
        <f t="shared" si="4"/>
        <v>P</v>
      </c>
    </row>
    <row r="65">
      <c r="A65" s="2" t="str">
        <f>IFERROR(__xludf.DUMMYFUNCTION("""COMPUTED_VALUE"""),"examples/generated/unkbipartite_10_300")</f>
        <v>examples/generated/unkbipartite_10_300</v>
      </c>
      <c r="B65" s="4">
        <f>IFERROR(__xludf.DUMMYFUNCTION("""COMPUTED_VALUE"""),3320.0)</f>
        <v>3320</v>
      </c>
      <c r="C65" s="4">
        <f>IFERROR(__xludf.DUMMYFUNCTION("""COMPUTED_VALUE"""),60.0)</f>
        <v>60</v>
      </c>
      <c r="D65" s="4">
        <f>IFERROR(__xludf.DUMMYFUNCTION("""COMPUTED_VALUE"""),70.0)</f>
        <v>70</v>
      </c>
      <c r="E65" s="4">
        <f>IFERROR(__xludf.DUMMYFUNCTION("""COMPUTED_VALUE"""),24.0)</f>
        <v>24</v>
      </c>
      <c r="F65" s="4">
        <f>IFERROR(__xludf.DUMMYFUNCTION("""COMPUTED_VALUE"""),24.0)</f>
        <v>24</v>
      </c>
      <c r="G65" s="4">
        <f>IFERROR(__xludf.DUMMYFUNCTION("""COMPUTED_VALUE"""),1.0)</f>
        <v>1</v>
      </c>
      <c r="H65" s="4">
        <f>IFERROR(__xludf.DUMMYFUNCTION("""COMPUTED_VALUE"""),1.0)</f>
        <v>1</v>
      </c>
      <c r="I65" s="2" t="str">
        <f>IFERROR(__xludf.DUMMYFUNCTION("""COMPUTED_VALUE"""),"generated")</f>
        <v>generated</v>
      </c>
      <c r="J65" s="2">
        <f t="shared" si="2"/>
        <v>11</v>
      </c>
      <c r="K65" s="2">
        <f t="shared" si="3"/>
        <v>5000</v>
      </c>
      <c r="L65" s="2" t="str">
        <f t="shared" si="4"/>
        <v>JP</v>
      </c>
    </row>
    <row r="66">
      <c r="A66" s="2" t="str">
        <f>IFERROR(__xludf.DUMMYFUNCTION("""COMPUTED_VALUE"""),"examples/generated/line_3000")</f>
        <v>examples/generated/line_3000</v>
      </c>
      <c r="B66" s="4">
        <f>IFERROR(__xludf.DUMMYFUNCTION("""COMPUTED_VALUE"""),6001.0)</f>
        <v>6001</v>
      </c>
      <c r="C66" s="4">
        <f>IFERROR(__xludf.DUMMYFUNCTION("""COMPUTED_VALUE"""),60.0)</f>
        <v>60</v>
      </c>
      <c r="D66" s="4">
        <f>IFERROR(__xludf.DUMMYFUNCTION("""COMPUTED_VALUE"""),1199.0)</f>
        <v>1199</v>
      </c>
      <c r="E66" s="4">
        <f>IFERROR(__xludf.DUMMYFUNCTION("""COMPUTED_VALUE"""),4.0)</f>
        <v>4</v>
      </c>
      <c r="F66" s="4">
        <f>IFERROR(__xludf.DUMMYFUNCTION("""COMPUTED_VALUE"""),17.0)</f>
        <v>17</v>
      </c>
      <c r="G66" s="4">
        <f>IFERROR(__xludf.DUMMYFUNCTION("""COMPUTED_VALUE"""),74.0)</f>
        <v>74</v>
      </c>
      <c r="H66" s="4">
        <f>IFERROR(__xludf.DUMMYFUNCTION("""COMPUTED_VALUE"""),3.0)</f>
        <v>3</v>
      </c>
      <c r="I66" s="2" t="str">
        <f>IFERROR(__xludf.DUMMYFUNCTION("""COMPUTED_VALUE"""),"generated")</f>
        <v>generated</v>
      </c>
      <c r="J66" s="2">
        <f t="shared" si="2"/>
        <v>11</v>
      </c>
      <c r="K66" s="2">
        <f t="shared" si="3"/>
        <v>5000</v>
      </c>
      <c r="L66" s="2" t="str">
        <f t="shared" si="4"/>
        <v>P</v>
      </c>
    </row>
    <row r="67">
      <c r="A67" s="2" t="str">
        <f>IFERROR(__xludf.DUMMYFUNCTION("""COMPUTED_VALUE"""),"examples/generated/complete_300")</f>
        <v>examples/generated/complete_300</v>
      </c>
      <c r="B67" s="4">
        <f>IFERROR(__xludf.DUMMYFUNCTION("""COMPUTED_VALUE"""),90000.0)</f>
        <v>90000</v>
      </c>
      <c r="C67" s="4">
        <f>IFERROR(__xludf.DUMMYFUNCTION("""COMPUTED_VALUE"""),60.0)</f>
        <v>60</v>
      </c>
      <c r="D67" s="4">
        <f>IFERROR(__xludf.DUMMYFUNCTION("""COMPUTED_VALUE"""),27882.0)</f>
        <v>27882</v>
      </c>
      <c r="E67" s="4">
        <f>IFERROR(__xludf.DUMMYFUNCTION("""COMPUTED_VALUE"""),407.0)</f>
        <v>407</v>
      </c>
      <c r="F67" s="4">
        <f>IFERROR(__xludf.DUMMYFUNCTION("""COMPUTED_VALUE"""),2399.0)</f>
        <v>2399</v>
      </c>
      <c r="G67" s="4">
        <f>IFERROR(__xludf.DUMMYFUNCTION("""COMPUTED_VALUE"""),78.0)</f>
        <v>78</v>
      </c>
      <c r="H67" s="4">
        <f>IFERROR(__xludf.DUMMYFUNCTION("""COMPUTED_VALUE"""),35.0)</f>
        <v>35</v>
      </c>
      <c r="I67" s="2" t="str">
        <f>IFERROR(__xludf.DUMMYFUNCTION("""COMPUTED_VALUE"""),"generated")</f>
        <v>generated</v>
      </c>
      <c r="J67" s="2">
        <f t="shared" si="2"/>
        <v>15</v>
      </c>
      <c r="K67" s="2">
        <f t="shared" si="3"/>
        <v>100000</v>
      </c>
      <c r="L67" s="2" t="str">
        <f t="shared" si="4"/>
        <v>P</v>
      </c>
    </row>
    <row r="68">
      <c r="A68" s="2" t="str">
        <f>IFERROR(__xludf.DUMMYFUNCTION("""COMPUTED_VALUE"""),"examples/generated/completeacyclic_100")</f>
        <v>examples/generated/completeacyclic_100</v>
      </c>
      <c r="B68" s="4">
        <f>IFERROR(__xludf.DUMMYFUNCTION("""COMPUTED_VALUE"""),5050.0)</f>
        <v>5050</v>
      </c>
      <c r="C68" s="4">
        <f>IFERROR(__xludf.DUMMYFUNCTION("""COMPUTED_VALUE"""),60.0)</f>
        <v>60</v>
      </c>
      <c r="D68" s="4">
        <f>IFERROR(__xludf.DUMMYFUNCTION("""COMPUTED_VALUE"""),187.0)</f>
        <v>187</v>
      </c>
      <c r="E68" s="4">
        <f>IFERROR(__xludf.DUMMYFUNCTION("""COMPUTED_VALUE"""),2.0)</f>
        <v>2</v>
      </c>
      <c r="F68" s="4">
        <f>IFERROR(__xludf.DUMMYFUNCTION("""COMPUTED_VALUE"""),263.0)</f>
        <v>263</v>
      </c>
      <c r="G68" s="4">
        <f>IFERROR(__xludf.DUMMYFUNCTION("""COMPUTED_VALUE"""),64.0)</f>
        <v>64</v>
      </c>
      <c r="H68" s="4">
        <f>IFERROR(__xludf.DUMMYFUNCTION("""COMPUTED_VALUE"""),2.0)</f>
        <v>2</v>
      </c>
      <c r="I68" s="2" t="str">
        <f>IFERROR(__xludf.DUMMYFUNCTION("""COMPUTED_VALUE"""),"generated")</f>
        <v>generated</v>
      </c>
      <c r="J68" s="2">
        <f t="shared" si="2"/>
        <v>11</v>
      </c>
      <c r="K68" s="2">
        <f t="shared" si="3"/>
        <v>5000</v>
      </c>
      <c r="L68" s="2" t="str">
        <f t="shared" si="4"/>
        <v>P</v>
      </c>
    </row>
    <row r="69">
      <c r="A69" s="2" t="str">
        <f>IFERROR(__xludf.DUMMYFUNCTION("""COMPUTED_VALUE"""),"examples/generated/unkloop_10000")</f>
        <v>examples/generated/unkloop_10000</v>
      </c>
      <c r="B69" s="4">
        <f>IFERROR(__xludf.DUMMYFUNCTION("""COMPUTED_VALUE"""),20001.0)</f>
        <v>20001</v>
      </c>
      <c r="C69" s="4">
        <f>IFERROR(__xludf.DUMMYFUNCTION("""COMPUTED_VALUE"""),60.0)</f>
        <v>60</v>
      </c>
      <c r="D69" s="4">
        <f>IFERROR(__xludf.DUMMYFUNCTION("""COMPUTED_VALUE"""),13855.0)</f>
        <v>13855</v>
      </c>
      <c r="E69" s="4">
        <f>IFERROR(__xludf.DUMMYFUNCTION("""COMPUTED_VALUE"""),16.0)</f>
        <v>16</v>
      </c>
      <c r="F69" s="4">
        <f>IFERROR(__xludf.DUMMYFUNCTION("""COMPUTED_VALUE"""),96.0)</f>
        <v>96</v>
      </c>
      <c r="G69" s="4">
        <f>IFERROR(__xludf.DUMMYFUNCTION("""COMPUTED_VALUE"""),303.0)</f>
        <v>303</v>
      </c>
      <c r="H69" s="4">
        <f>IFERROR(__xludf.DUMMYFUNCTION("""COMPUTED_VALUE"""),8.0)</f>
        <v>8</v>
      </c>
      <c r="I69" s="2" t="str">
        <f>IFERROR(__xludf.DUMMYFUNCTION("""COMPUTED_VALUE"""),"generated")</f>
        <v>generated</v>
      </c>
      <c r="J69" s="2">
        <f t="shared" si="2"/>
        <v>13</v>
      </c>
      <c r="K69" s="2">
        <f t="shared" si="3"/>
        <v>20000</v>
      </c>
      <c r="L69" s="2" t="str">
        <f t="shared" si="4"/>
        <v>P</v>
      </c>
    </row>
    <row r="70">
      <c r="A70" s="2" t="str">
        <f>IFERROR(__xludf.DUMMYFUNCTION("""COMPUTED_VALUE"""),"examples/generated/reverseunkline_30000")</f>
        <v>examples/generated/reverseunkline_30000</v>
      </c>
      <c r="B70" s="4">
        <f>IFERROR(__xludf.DUMMYFUNCTION("""COMPUTED_VALUE"""),60000.0)</f>
        <v>60000</v>
      </c>
      <c r="C70" s="4">
        <f>IFERROR(__xludf.DUMMYFUNCTION("""COMPUTED_VALUE"""),60.0)</f>
        <v>60</v>
      </c>
      <c r="D70" s="4">
        <f>IFERROR(__xludf.DUMMYFUNCTION("""COMPUTED_VALUE"""),60000.0)</f>
        <v>60000</v>
      </c>
      <c r="E70" s="4">
        <f>IFERROR(__xludf.DUMMYFUNCTION("""COMPUTED_VALUE"""),60000.0)</f>
        <v>60000</v>
      </c>
      <c r="F70" s="4">
        <f>IFERROR(__xludf.DUMMYFUNCTION("""COMPUTED_VALUE"""),40.0)</f>
        <v>40</v>
      </c>
      <c r="G70" s="4">
        <f>IFERROR(__xludf.DUMMYFUNCTION("""COMPUTED_VALUE"""),1126.0)</f>
        <v>1126</v>
      </c>
      <c r="H70" s="4">
        <f>IFERROR(__xludf.DUMMYFUNCTION("""COMPUTED_VALUE"""),233.0)</f>
        <v>233</v>
      </c>
      <c r="I70" s="2" t="str">
        <f>IFERROR(__xludf.DUMMYFUNCTION("""COMPUTED_VALUE"""),"generated")</f>
        <v>generated</v>
      </c>
      <c r="J70" s="2">
        <f t="shared" si="2"/>
        <v>14</v>
      </c>
      <c r="K70" s="2">
        <f t="shared" si="3"/>
        <v>50000</v>
      </c>
      <c r="L70" s="2" t="str">
        <f t="shared" si="4"/>
        <v>B</v>
      </c>
    </row>
    <row r="71">
      <c r="A71" s="2" t="str">
        <f>IFERROR(__xludf.DUMMYFUNCTION("""COMPUTED_VALUE"""),"examples/generated/loop_10000")</f>
        <v>examples/generated/loop_10000</v>
      </c>
      <c r="B71" s="4">
        <f>IFERROR(__xludf.DUMMYFUNCTION("""COMPUTED_VALUE"""),20000.0)</f>
        <v>20000</v>
      </c>
      <c r="C71" s="4">
        <f>IFERROR(__xludf.DUMMYFUNCTION("""COMPUTED_VALUE"""),60.0)</f>
        <v>60</v>
      </c>
      <c r="D71" s="4">
        <f>IFERROR(__xludf.DUMMYFUNCTION("""COMPUTED_VALUE"""),13865.0)</f>
        <v>13865</v>
      </c>
      <c r="E71" s="4">
        <f>IFERROR(__xludf.DUMMYFUNCTION("""COMPUTED_VALUE"""),16.0)</f>
        <v>16</v>
      </c>
      <c r="F71" s="4">
        <f>IFERROR(__xludf.DUMMYFUNCTION("""COMPUTED_VALUE"""),97.0)</f>
        <v>97</v>
      </c>
      <c r="G71" s="4">
        <f>IFERROR(__xludf.DUMMYFUNCTION("""COMPUTED_VALUE"""),306.0)</f>
        <v>306</v>
      </c>
      <c r="H71" s="4">
        <f>IFERROR(__xludf.DUMMYFUNCTION("""COMPUTED_VALUE"""),15.0)</f>
        <v>15</v>
      </c>
      <c r="I71" s="2" t="str">
        <f>IFERROR(__xludf.DUMMYFUNCTION("""COMPUTED_VALUE"""),"generated")</f>
        <v>generated</v>
      </c>
      <c r="J71" s="2">
        <f t="shared" si="2"/>
        <v>13</v>
      </c>
      <c r="K71" s="2">
        <f t="shared" si="3"/>
        <v>20000</v>
      </c>
      <c r="L71" s="2" t="str">
        <f t="shared" si="4"/>
        <v>P</v>
      </c>
    </row>
    <row r="72">
      <c r="A72" s="2" t="str">
        <f>IFERROR(__xludf.DUMMYFUNCTION("""COMPUTED_VALUE"""),"examples/generated/unkcompleteacyclic_1000")</f>
        <v>examples/generated/unkcompleteacyclic_1000</v>
      </c>
      <c r="B72" s="4">
        <f>IFERROR(__xludf.DUMMYFUNCTION("""COMPUTED_VALUE"""),501500.0)</f>
        <v>501500</v>
      </c>
      <c r="C72" s="4">
        <f>IFERROR(__xludf.DUMMYFUNCTION("""COMPUTED_VALUE"""),60.0)</f>
        <v>60</v>
      </c>
      <c r="D72" s="4">
        <f>IFERROR(__xludf.DUMMYFUNCTION("""COMPUTED_VALUE"""),60000.0)</f>
        <v>60000</v>
      </c>
      <c r="E72" s="4">
        <f>IFERROR(__xludf.DUMMYFUNCTION("""COMPUTED_VALUE"""),139.0)</f>
        <v>139</v>
      </c>
      <c r="F72" s="4">
        <f>IFERROR(__xludf.DUMMYFUNCTION("""COMPUTED_VALUE"""),60000.0)</f>
        <v>60000</v>
      </c>
      <c r="G72" s="4">
        <f>IFERROR(__xludf.DUMMYFUNCTION("""COMPUTED_VALUE"""),142.0)</f>
        <v>142</v>
      </c>
      <c r="H72" s="4">
        <f>IFERROR(__xludf.DUMMYFUNCTION("""COMPUTED_VALUE"""),113.0)</f>
        <v>113</v>
      </c>
      <c r="I72" s="2" t="str">
        <f>IFERROR(__xludf.DUMMYFUNCTION("""COMPUTED_VALUE"""),"generated")</f>
        <v>generated</v>
      </c>
      <c r="J72" s="2">
        <f t="shared" si="2"/>
        <v>17</v>
      </c>
      <c r="K72" s="2">
        <f t="shared" si="3"/>
        <v>500000</v>
      </c>
      <c r="L72" s="2" t="str">
        <f t="shared" si="4"/>
        <v>P</v>
      </c>
    </row>
    <row r="73">
      <c r="A73" s="2" t="str">
        <f>IFERROR(__xludf.DUMMYFUNCTION("""COMPUTED_VALUE"""),"examples/generated/reverseloop_3000")</f>
        <v>examples/generated/reverseloop_3000</v>
      </c>
      <c r="B73" s="4">
        <f>IFERROR(__xludf.DUMMYFUNCTION("""COMPUTED_VALUE"""),6000.0)</f>
        <v>6000</v>
      </c>
      <c r="C73" s="4">
        <f>IFERROR(__xludf.DUMMYFUNCTION("""COMPUTED_VALUE"""),60.0)</f>
        <v>60</v>
      </c>
      <c r="D73" s="4">
        <f>IFERROR(__xludf.DUMMYFUNCTION("""COMPUTED_VALUE"""),1196.0)</f>
        <v>1196</v>
      </c>
      <c r="E73" s="4">
        <f>IFERROR(__xludf.DUMMYFUNCTION("""COMPUTED_VALUE"""),861.0)</f>
        <v>861</v>
      </c>
      <c r="F73" s="4">
        <f>IFERROR(__xludf.DUMMYFUNCTION("""COMPUTED_VALUE"""),5.0)</f>
        <v>5</v>
      </c>
      <c r="G73" s="4">
        <f>IFERROR(__xludf.DUMMYFUNCTION("""COMPUTED_VALUE"""),75.0)</f>
        <v>75</v>
      </c>
      <c r="H73" s="4">
        <f>IFERROR(__xludf.DUMMYFUNCTION("""COMPUTED_VALUE"""),18.0)</f>
        <v>18</v>
      </c>
      <c r="I73" s="2" t="str">
        <f>IFERROR(__xludf.DUMMYFUNCTION("""COMPUTED_VALUE"""),"generated")</f>
        <v>generated</v>
      </c>
      <c r="J73" s="2">
        <f t="shared" si="2"/>
        <v>11</v>
      </c>
      <c r="K73" s="2">
        <f t="shared" si="3"/>
        <v>5000</v>
      </c>
      <c r="L73" s="2" t="str">
        <f t="shared" si="4"/>
        <v>B</v>
      </c>
    </row>
    <row r="74">
      <c r="A74" s="2" t="str">
        <f>IFERROR(__xludf.DUMMYFUNCTION("""COMPUTED_VALUE"""),"examples/generated/unkloop_100000")</f>
        <v>examples/generated/unkloop_100000</v>
      </c>
      <c r="B74" s="4">
        <f>IFERROR(__xludf.DUMMYFUNCTION("""COMPUTED_VALUE"""),200001.0)</f>
        <v>200001</v>
      </c>
      <c r="C74" s="4">
        <f>IFERROR(__xludf.DUMMYFUNCTION("""COMPUTED_VALUE"""),60.0)</f>
        <v>60</v>
      </c>
      <c r="D74" s="4">
        <f>IFERROR(__xludf.DUMMYFUNCTION("""COMPUTED_VALUE"""),60000.0)</f>
        <v>60000</v>
      </c>
      <c r="E74" s="4">
        <f>IFERROR(__xludf.DUMMYFUNCTION("""COMPUTED_VALUE"""),193.0)</f>
        <v>193</v>
      </c>
      <c r="F74" s="4">
        <f>IFERROR(__xludf.DUMMYFUNCTION("""COMPUTED_VALUE"""),2844.0)</f>
        <v>2844</v>
      </c>
      <c r="G74" s="4">
        <f>IFERROR(__xludf.DUMMYFUNCTION("""COMPUTED_VALUE"""),4388.0)</f>
        <v>4388</v>
      </c>
      <c r="H74" s="4">
        <f>IFERROR(__xludf.DUMMYFUNCTION("""COMPUTED_VALUE"""),83.0)</f>
        <v>83</v>
      </c>
      <c r="I74" s="2" t="str">
        <f>IFERROR(__xludf.DUMMYFUNCTION("""COMPUTED_VALUE"""),"generated")</f>
        <v>generated</v>
      </c>
      <c r="J74" s="2">
        <f t="shared" si="2"/>
        <v>16</v>
      </c>
      <c r="K74" s="2">
        <f t="shared" si="3"/>
        <v>200000</v>
      </c>
      <c r="L74" s="2" t="str">
        <f t="shared" si="4"/>
        <v>P</v>
      </c>
    </row>
    <row r="75">
      <c r="A75" s="2" t="str">
        <f>IFERROR(__xludf.DUMMYFUNCTION("""COMPUTED_VALUE"""),"examples/generated/reverseunkloop_1000")</f>
        <v>examples/generated/reverseunkloop_1000</v>
      </c>
      <c r="B75" s="4">
        <f>IFERROR(__xludf.DUMMYFUNCTION("""COMPUTED_VALUE"""),2001.0)</f>
        <v>2001</v>
      </c>
      <c r="C75" s="4">
        <f>IFERROR(__xludf.DUMMYFUNCTION("""COMPUTED_VALUE"""),60.0)</f>
        <v>60</v>
      </c>
      <c r="D75" s="4">
        <f>IFERROR(__xludf.DUMMYFUNCTION("""COMPUTED_VALUE"""),130.0)</f>
        <v>130</v>
      </c>
      <c r="E75" s="4">
        <f>IFERROR(__xludf.DUMMYFUNCTION("""COMPUTED_VALUE"""),94.0)</f>
        <v>94</v>
      </c>
      <c r="F75" s="4">
        <f>IFERROR(__xludf.DUMMYFUNCTION("""COMPUTED_VALUE"""),1.0)</f>
        <v>1</v>
      </c>
      <c r="G75" s="4">
        <f>IFERROR(__xludf.DUMMYFUNCTION("""COMPUTED_VALUE"""),19.0)</f>
        <v>19</v>
      </c>
      <c r="H75" s="4">
        <f>IFERROR(__xludf.DUMMYFUNCTION("""COMPUTED_VALUE"""),5.0)</f>
        <v>5</v>
      </c>
      <c r="I75" s="2" t="str">
        <f>IFERROR(__xludf.DUMMYFUNCTION("""COMPUTED_VALUE"""),"generated")</f>
        <v>generated</v>
      </c>
      <c r="J75" s="2">
        <f t="shared" si="2"/>
        <v>10</v>
      </c>
      <c r="K75" s="2">
        <f t="shared" si="3"/>
        <v>2000</v>
      </c>
      <c r="L75" s="2" t="str">
        <f t="shared" si="4"/>
        <v>B</v>
      </c>
    </row>
    <row r="76">
      <c r="A76" s="2" t="str">
        <f>IFERROR(__xludf.DUMMYFUNCTION("""COMPUTED_VALUE"""),"examples/generated/completeacyclic_1000")</f>
        <v>examples/generated/completeacyclic_1000</v>
      </c>
      <c r="B76" s="4">
        <f>IFERROR(__xludf.DUMMYFUNCTION("""COMPUTED_VALUE"""),500500.0)</f>
        <v>500500</v>
      </c>
      <c r="C76" s="4">
        <f>IFERROR(__xludf.DUMMYFUNCTION("""COMPUTED_VALUE"""),60.0)</f>
        <v>60</v>
      </c>
      <c r="D76" s="4">
        <f>IFERROR(__xludf.DUMMYFUNCTION("""COMPUTED_VALUE"""),60000.0)</f>
        <v>60000</v>
      </c>
      <c r="E76" s="4">
        <f>IFERROR(__xludf.DUMMYFUNCTION("""COMPUTED_VALUE"""),237.0)</f>
        <v>237</v>
      </c>
      <c r="F76" s="4">
        <f>IFERROR(__xludf.DUMMYFUNCTION("""COMPUTED_VALUE"""),60000.0)</f>
        <v>60000</v>
      </c>
      <c r="G76" s="4">
        <f>IFERROR(__xludf.DUMMYFUNCTION("""COMPUTED_VALUE"""),12826.0)</f>
        <v>12826</v>
      </c>
      <c r="H76" s="4">
        <f>IFERROR(__xludf.DUMMYFUNCTION("""COMPUTED_VALUE"""),254.0)</f>
        <v>254</v>
      </c>
      <c r="I76" s="2" t="str">
        <f>IFERROR(__xludf.DUMMYFUNCTION("""COMPUTED_VALUE"""),"generated")</f>
        <v>generated</v>
      </c>
      <c r="J76" s="2">
        <f t="shared" si="2"/>
        <v>17</v>
      </c>
      <c r="K76" s="2">
        <f t="shared" si="3"/>
        <v>500000</v>
      </c>
      <c r="L76" s="2" t="str">
        <f t="shared" si="4"/>
        <v>P</v>
      </c>
    </row>
    <row r="77">
      <c r="A77" s="2" t="str">
        <f>IFERROR(__xludf.DUMMYFUNCTION("""COMPUTED_VALUE"""),"examples/generated/bipartite_300_300")</f>
        <v>examples/generated/bipartite_300_300</v>
      </c>
      <c r="B77" s="4">
        <f>IFERROR(__xludf.DUMMYFUNCTION("""COMPUTED_VALUE"""),90600.0)</f>
        <v>90600</v>
      </c>
      <c r="C77" s="4">
        <f>IFERROR(__xludf.DUMMYFUNCTION("""COMPUTED_VALUE"""),60.0)</f>
        <v>60</v>
      </c>
      <c r="D77" s="4">
        <f>IFERROR(__xludf.DUMMYFUNCTION("""COMPUTED_VALUE"""),3259.0)</f>
        <v>3259</v>
      </c>
      <c r="E77" s="4">
        <f>IFERROR(__xludf.DUMMYFUNCTION("""COMPUTED_VALUE"""),709.0)</f>
        <v>709</v>
      </c>
      <c r="F77" s="4">
        <f>IFERROR(__xludf.DUMMYFUNCTION("""COMPUTED_VALUE"""),736.0)</f>
        <v>736</v>
      </c>
      <c r="G77" s="4">
        <f>IFERROR(__xludf.DUMMYFUNCTION("""COMPUTED_VALUE"""),48.0)</f>
        <v>48</v>
      </c>
      <c r="H77" s="4">
        <f>IFERROR(__xludf.DUMMYFUNCTION("""COMPUTED_VALUE"""),34.0)</f>
        <v>34</v>
      </c>
      <c r="I77" s="2" t="str">
        <f>IFERROR(__xludf.DUMMYFUNCTION("""COMPUTED_VALUE"""),"generated")</f>
        <v>generated</v>
      </c>
      <c r="J77" s="2">
        <f t="shared" si="2"/>
        <v>15</v>
      </c>
      <c r="K77" s="2">
        <f t="shared" si="3"/>
        <v>100000</v>
      </c>
      <c r="L77" s="2" t="str">
        <f t="shared" si="4"/>
        <v>P</v>
      </c>
    </row>
    <row r="78">
      <c r="A78" s="2" t="str">
        <f>IFERROR(__xludf.DUMMYFUNCTION("""COMPUTED_VALUE"""),"examples/generated/unkbipartite_1000_1000")</f>
        <v>examples/generated/unkbipartite_1000_1000</v>
      </c>
      <c r="B78" s="4">
        <f>IFERROR(__xludf.DUMMYFUNCTION("""COMPUTED_VALUE"""),1003000.0)</f>
        <v>1003000</v>
      </c>
      <c r="C78" s="4">
        <f>IFERROR(__xludf.DUMMYFUNCTION("""COMPUTED_VALUE"""),60.0)</f>
        <v>60</v>
      </c>
      <c r="D78" s="4">
        <f>IFERROR(__xludf.DUMMYFUNCTION("""COMPUTED_VALUE"""),60000.0)</f>
        <v>60000</v>
      </c>
      <c r="E78" s="4">
        <f>IFERROR(__xludf.DUMMYFUNCTION("""COMPUTED_VALUE"""),27794.0)</f>
        <v>27794</v>
      </c>
      <c r="F78" s="4">
        <f>IFERROR(__xludf.DUMMYFUNCTION("""COMPUTED_VALUE"""),27290.0)</f>
        <v>27290</v>
      </c>
      <c r="G78" s="4">
        <f>IFERROR(__xludf.DUMMYFUNCTION("""COMPUTED_VALUE"""),382.0)</f>
        <v>382</v>
      </c>
      <c r="H78" s="4">
        <f>IFERROR(__xludf.DUMMYFUNCTION("""COMPUTED_VALUE"""),364.0)</f>
        <v>364</v>
      </c>
      <c r="I78" s="2" t="str">
        <f>IFERROR(__xludf.DUMMYFUNCTION("""COMPUTED_VALUE"""),"generated")</f>
        <v>generated</v>
      </c>
      <c r="J78" s="2">
        <f t="shared" si="2"/>
        <v>18</v>
      </c>
      <c r="K78" s="2">
        <f t="shared" si="3"/>
        <v>1000000</v>
      </c>
      <c r="L78" s="2" t="str">
        <f t="shared" si="4"/>
        <v>P</v>
      </c>
    </row>
    <row r="79">
      <c r="A79" s="2" t="str">
        <f>IFERROR(__xludf.DUMMYFUNCTION("""COMPUTED_VALUE"""),"examples/generated/reverseline_30000")</f>
        <v>examples/generated/reverseline_30000</v>
      </c>
      <c r="B79" s="4">
        <f>IFERROR(__xludf.DUMMYFUNCTION("""COMPUTED_VALUE"""),60001.0)</f>
        <v>60001</v>
      </c>
      <c r="C79" s="4">
        <f>IFERROR(__xludf.DUMMYFUNCTION("""COMPUTED_VALUE"""),60.0)</f>
        <v>60</v>
      </c>
      <c r="D79" s="4">
        <f>IFERROR(__xludf.DUMMYFUNCTION("""COMPUTED_VALUE"""),60000.0)</f>
        <v>60000</v>
      </c>
      <c r="E79" s="4">
        <f>IFERROR(__xludf.DUMMYFUNCTION("""COMPUTED_VALUE"""),60000.0)</f>
        <v>60000</v>
      </c>
      <c r="F79" s="4">
        <f>IFERROR(__xludf.DUMMYFUNCTION("""COMPUTED_VALUE"""),50.0)</f>
        <v>50</v>
      </c>
      <c r="G79" s="4">
        <f>IFERROR(__xludf.DUMMYFUNCTION("""COMPUTED_VALUE"""),1134.0)</f>
        <v>1134</v>
      </c>
      <c r="H79" s="4">
        <f>IFERROR(__xludf.DUMMYFUNCTION("""COMPUTED_VALUE"""),246.0)</f>
        <v>246</v>
      </c>
      <c r="I79" s="2" t="str">
        <f>IFERROR(__xludf.DUMMYFUNCTION("""COMPUTED_VALUE"""),"generated")</f>
        <v>generated</v>
      </c>
      <c r="J79" s="2">
        <f t="shared" si="2"/>
        <v>14</v>
      </c>
      <c r="K79" s="2">
        <f t="shared" si="3"/>
        <v>50000</v>
      </c>
      <c r="L79" s="2" t="str">
        <f t="shared" si="4"/>
        <v>B</v>
      </c>
    </row>
    <row r="80">
      <c r="A80" s="2" t="str">
        <f>IFERROR(__xludf.DUMMYFUNCTION("""COMPUTED_VALUE"""),"examples/generated/unkcomplete_100")</f>
        <v>examples/generated/unkcomplete_100</v>
      </c>
      <c r="B80" s="4">
        <f>IFERROR(__xludf.DUMMYFUNCTION("""COMPUTED_VALUE"""),10100.0)</f>
        <v>10100</v>
      </c>
      <c r="C80" s="4">
        <f>IFERROR(__xludf.DUMMYFUNCTION("""COMPUTED_VALUE"""),60.0)</f>
        <v>60</v>
      </c>
      <c r="D80" s="4">
        <f>IFERROR(__xludf.DUMMYFUNCTION("""COMPUTED_VALUE"""),370.0)</f>
        <v>370</v>
      </c>
      <c r="E80" s="4">
        <f>IFERROR(__xludf.DUMMYFUNCTION("""COMPUTED_VALUE"""),19.0)</f>
        <v>19</v>
      </c>
      <c r="F80" s="4">
        <f>IFERROR(__xludf.DUMMYFUNCTION("""COMPUTED_VALUE"""),39.0)</f>
        <v>39</v>
      </c>
      <c r="G80" s="4">
        <f>IFERROR(__xludf.DUMMYFUNCTION("""COMPUTED_VALUE"""),3.0)</f>
        <v>3</v>
      </c>
      <c r="H80" s="4">
        <f>IFERROR(__xludf.DUMMYFUNCTION("""COMPUTED_VALUE"""),2.0)</f>
        <v>2</v>
      </c>
      <c r="I80" s="2" t="str">
        <f>IFERROR(__xludf.DUMMYFUNCTION("""COMPUTED_VALUE"""),"generated")</f>
        <v>generated</v>
      </c>
      <c r="J80" s="2">
        <f t="shared" si="2"/>
        <v>12</v>
      </c>
      <c r="K80" s="2">
        <f t="shared" si="3"/>
        <v>10000</v>
      </c>
      <c r="L80" s="2" t="str">
        <f t="shared" si="4"/>
        <v>P</v>
      </c>
    </row>
    <row r="81">
      <c r="A81" s="2" t="str">
        <f>IFERROR(__xludf.DUMMYFUNCTION("""COMPUTED_VALUE"""),"examples/generated/unkline_100000")</f>
        <v>examples/generated/unkline_100000</v>
      </c>
      <c r="B81" s="4">
        <f>IFERROR(__xludf.DUMMYFUNCTION("""COMPUTED_VALUE"""),200000.0)</f>
        <v>200000</v>
      </c>
      <c r="C81" s="4">
        <f>IFERROR(__xludf.DUMMYFUNCTION("""COMPUTED_VALUE"""),60.0)</f>
        <v>60</v>
      </c>
      <c r="D81" s="4">
        <f>IFERROR(__xludf.DUMMYFUNCTION("""COMPUTED_VALUE"""),60000.0)</f>
        <v>60000</v>
      </c>
      <c r="E81" s="4">
        <f>IFERROR(__xludf.DUMMYFUNCTION("""COMPUTED_VALUE"""),114.0)</f>
        <v>114</v>
      </c>
      <c r="F81" s="4">
        <f>IFERROR(__xludf.DUMMYFUNCTION("""COMPUTED_VALUE"""),2724.0)</f>
        <v>2724</v>
      </c>
      <c r="G81" s="4">
        <f>IFERROR(__xludf.DUMMYFUNCTION("""COMPUTED_VALUE"""),4386.0)</f>
        <v>4386</v>
      </c>
      <c r="H81" s="4">
        <f>IFERROR(__xludf.DUMMYFUNCTION("""COMPUTED_VALUE"""),83.0)</f>
        <v>83</v>
      </c>
      <c r="I81" s="2" t="str">
        <f>IFERROR(__xludf.DUMMYFUNCTION("""COMPUTED_VALUE"""),"generated")</f>
        <v>generated</v>
      </c>
      <c r="J81" s="2">
        <f t="shared" si="2"/>
        <v>16</v>
      </c>
      <c r="K81" s="2">
        <f t="shared" si="3"/>
        <v>200000</v>
      </c>
      <c r="L81" s="2" t="str">
        <f t="shared" si="4"/>
        <v>P</v>
      </c>
    </row>
    <row r="82">
      <c r="A82" s="2" t="str">
        <f>IFERROR(__xludf.DUMMYFUNCTION("""COMPUTED_VALUE"""),"examples/random/sparse_30000_1_9")</f>
        <v>examples/random/sparse_30000_1_9</v>
      </c>
      <c r="B82" s="4">
        <f>IFERROR(__xludf.DUMMYFUNCTION("""COMPUTED_VALUE"""),60000.0)</f>
        <v>60000</v>
      </c>
      <c r="C82" s="4">
        <f>IFERROR(__xludf.DUMMYFUNCTION("""COMPUTED_VALUE"""),60.0)</f>
        <v>60</v>
      </c>
      <c r="D82" s="4">
        <f>IFERROR(__xludf.DUMMYFUNCTION("""COMPUTED_VALUE"""),60000.0)</f>
        <v>60000</v>
      </c>
      <c r="E82" s="4">
        <f>IFERROR(__xludf.DUMMYFUNCTION("""COMPUTED_VALUE"""),77.0)</f>
        <v>77</v>
      </c>
      <c r="F82" s="4">
        <f>IFERROR(__xludf.DUMMYFUNCTION("""COMPUTED_VALUE"""),69.0)</f>
        <v>69</v>
      </c>
      <c r="G82" s="4">
        <f>IFERROR(__xludf.DUMMYFUNCTION("""COMPUTED_VALUE"""),405.0)</f>
        <v>405</v>
      </c>
      <c r="H82" s="4">
        <f>IFERROR(__xludf.DUMMYFUNCTION("""COMPUTED_VALUE"""),52.0)</f>
        <v>52</v>
      </c>
      <c r="I82" s="2" t="str">
        <f>IFERROR(__xludf.DUMMYFUNCTION("""COMPUTED_VALUE"""),"random")</f>
        <v>random</v>
      </c>
      <c r="J82" s="2">
        <f t="shared" si="2"/>
        <v>14</v>
      </c>
      <c r="K82" s="2">
        <f t="shared" si="3"/>
        <v>50000</v>
      </c>
      <c r="L82" s="2" t="str">
        <f t="shared" si="4"/>
        <v>P</v>
      </c>
    </row>
    <row r="83">
      <c r="A83" s="2" t="str">
        <f>IFERROR(__xludf.DUMMYFUNCTION("""COMPUTED_VALUE"""),"examples/random/sparse_100_10_8")</f>
        <v>examples/random/sparse_100_10_8</v>
      </c>
      <c r="B83" s="4">
        <f>IFERROR(__xludf.DUMMYFUNCTION("""COMPUTED_VALUE"""),1100.0)</f>
        <v>1100</v>
      </c>
      <c r="C83" s="4">
        <f>IFERROR(__xludf.DUMMYFUNCTION("""COMPUTED_VALUE"""),60.0)</f>
        <v>60</v>
      </c>
      <c r="D83" s="4">
        <f>IFERROR(__xludf.DUMMYFUNCTION("""COMPUTED_VALUE"""),49.0)</f>
        <v>49</v>
      </c>
      <c r="E83" s="4">
        <f>IFERROR(__xludf.DUMMYFUNCTION("""COMPUTED_VALUE"""),1.0)</f>
        <v>1</v>
      </c>
      <c r="F83" s="4">
        <f>IFERROR(__xludf.DUMMYFUNCTION("""COMPUTED_VALUE"""),2.0)</f>
        <v>2</v>
      </c>
      <c r="G83" s="4">
        <f>IFERROR(__xludf.DUMMYFUNCTION("""COMPUTED_VALUE"""),0.0)</f>
        <v>0</v>
      </c>
      <c r="H83" s="4">
        <f>IFERROR(__xludf.DUMMYFUNCTION("""COMPUTED_VALUE"""),0.0)</f>
        <v>0</v>
      </c>
      <c r="I83" s="2" t="str">
        <f>IFERROR(__xludf.DUMMYFUNCTION("""COMPUTED_VALUE"""),"random")</f>
        <v>random</v>
      </c>
      <c r="J83" s="2">
        <f t="shared" si="2"/>
        <v>9</v>
      </c>
      <c r="K83" s="2">
        <f t="shared" si="3"/>
        <v>1000</v>
      </c>
      <c r="L83" s="2" t="str">
        <f t="shared" si="4"/>
        <v>JP</v>
      </c>
    </row>
    <row r="84">
      <c r="A84" s="2" t="str">
        <f>IFERROR(__xludf.DUMMYFUNCTION("""COMPUTED_VALUE"""),"examples/random/sparse_30000_3_7")</f>
        <v>examples/random/sparse_30000_3_7</v>
      </c>
      <c r="B84" s="4">
        <f>IFERROR(__xludf.DUMMYFUNCTION("""COMPUTED_VALUE"""),120000.0)</f>
        <v>120000</v>
      </c>
      <c r="C84" s="4">
        <f>IFERROR(__xludf.DUMMYFUNCTION("""COMPUTED_VALUE"""),60.0)</f>
        <v>60</v>
      </c>
      <c r="D84" s="4">
        <f>IFERROR(__xludf.DUMMYFUNCTION("""COMPUTED_VALUE"""),60000.0)</f>
        <v>60000</v>
      </c>
      <c r="E84" s="4">
        <f>IFERROR(__xludf.DUMMYFUNCTION("""COMPUTED_VALUE"""),31663.0)</f>
        <v>31663</v>
      </c>
      <c r="F84" s="4">
        <f>IFERROR(__xludf.DUMMYFUNCTION("""COMPUTED_VALUE"""),56603.0)</f>
        <v>56603</v>
      </c>
      <c r="G84" s="4">
        <f>IFERROR(__xludf.DUMMYFUNCTION("""COMPUTED_VALUE"""),339.0)</f>
        <v>339</v>
      </c>
      <c r="H84" s="4">
        <f>IFERROR(__xludf.DUMMYFUNCTION("""COMPUTED_VALUE"""),81.0)</f>
        <v>81</v>
      </c>
      <c r="I84" s="2" t="str">
        <f>IFERROR(__xludf.DUMMYFUNCTION("""COMPUTED_VALUE"""),"random")</f>
        <v>random</v>
      </c>
      <c r="J84" s="2">
        <f t="shared" si="2"/>
        <v>15</v>
      </c>
      <c r="K84" s="2">
        <f t="shared" si="3"/>
        <v>100000</v>
      </c>
      <c r="L84" s="2" t="str">
        <f t="shared" si="4"/>
        <v>P</v>
      </c>
    </row>
    <row r="85">
      <c r="A85" s="2" t="str">
        <f>IFERROR(__xludf.DUMMYFUNCTION("""COMPUTED_VALUE"""),"examples/random/dense_3000_3_1")</f>
        <v>examples/random/dense_3000_3_1</v>
      </c>
      <c r="B85" s="4">
        <f>IFERROR(__xludf.DUMMYFUNCTION("""COMPUTED_VALUE"""),272634.0)</f>
        <v>272634</v>
      </c>
      <c r="C85" s="4">
        <f>IFERROR(__xludf.DUMMYFUNCTION("""COMPUTED_VALUE"""),60.0)</f>
        <v>60</v>
      </c>
      <c r="D85" s="4">
        <f>IFERROR(__xludf.DUMMYFUNCTION("""COMPUTED_VALUE"""),60000.0)</f>
        <v>60000</v>
      </c>
      <c r="E85" s="4">
        <f>IFERROR(__xludf.DUMMYFUNCTION("""COMPUTED_VALUE"""),12846.0)</f>
        <v>12846</v>
      </c>
      <c r="F85" s="4">
        <f>IFERROR(__xludf.DUMMYFUNCTION("""COMPUTED_VALUE"""),36310.0)</f>
        <v>36310</v>
      </c>
      <c r="G85" s="4">
        <f>IFERROR(__xludf.DUMMYFUNCTION("""COMPUTED_VALUE"""),95.0)</f>
        <v>95</v>
      </c>
      <c r="H85" s="4">
        <f>IFERROR(__xludf.DUMMYFUNCTION("""COMPUTED_VALUE"""),58.0)</f>
        <v>58</v>
      </c>
      <c r="I85" s="2" t="str">
        <f>IFERROR(__xludf.DUMMYFUNCTION("""COMPUTED_VALUE"""),"random")</f>
        <v>random</v>
      </c>
      <c r="J85" s="2">
        <f t="shared" si="2"/>
        <v>16</v>
      </c>
      <c r="K85" s="2">
        <f t="shared" si="3"/>
        <v>200000</v>
      </c>
      <c r="L85" s="2" t="str">
        <f t="shared" si="4"/>
        <v>P</v>
      </c>
    </row>
    <row r="86">
      <c r="A86" s="2" t="str">
        <f>IFERROR(__xludf.DUMMYFUNCTION("""COMPUTED_VALUE"""),"examples/random/sparse_10000_3_3")</f>
        <v>examples/random/sparse_10000_3_3</v>
      </c>
      <c r="B86" s="4">
        <f>IFERROR(__xludf.DUMMYFUNCTION("""COMPUTED_VALUE"""),40000.0)</f>
        <v>40000</v>
      </c>
      <c r="C86" s="4">
        <f>IFERROR(__xludf.DUMMYFUNCTION("""COMPUTED_VALUE"""),60.0)</f>
        <v>60</v>
      </c>
      <c r="D86" s="4">
        <f>IFERROR(__xludf.DUMMYFUNCTION("""COMPUTED_VALUE"""),60000.0)</f>
        <v>60000</v>
      </c>
      <c r="E86" s="4">
        <f>IFERROR(__xludf.DUMMYFUNCTION("""COMPUTED_VALUE"""),3323.0)</f>
        <v>3323</v>
      </c>
      <c r="F86" s="4">
        <f>IFERROR(__xludf.DUMMYFUNCTION("""COMPUTED_VALUE"""),5748.0)</f>
        <v>5748</v>
      </c>
      <c r="G86" s="4">
        <f>IFERROR(__xludf.DUMMYFUNCTION("""COMPUTED_VALUE"""),87.0)</f>
        <v>87</v>
      </c>
      <c r="H86" s="4">
        <f>IFERROR(__xludf.DUMMYFUNCTION("""COMPUTED_VALUE"""),19.0)</f>
        <v>19</v>
      </c>
      <c r="I86" s="2" t="str">
        <f>IFERROR(__xludf.DUMMYFUNCTION("""COMPUTED_VALUE"""),"random")</f>
        <v>random</v>
      </c>
      <c r="J86" s="2">
        <f t="shared" si="2"/>
        <v>14</v>
      </c>
      <c r="K86" s="2">
        <f t="shared" si="3"/>
        <v>50000</v>
      </c>
      <c r="L86" s="2" t="str">
        <f t="shared" si="4"/>
        <v>P</v>
      </c>
    </row>
    <row r="87">
      <c r="A87" s="2" t="str">
        <f>IFERROR(__xludf.DUMMYFUNCTION("""COMPUTED_VALUE"""),"examples/random/dense_300_1_10")</f>
        <v>examples/random/dense_300_1_10</v>
      </c>
      <c r="B87" s="4">
        <f>IFERROR(__xludf.DUMMYFUNCTION("""COMPUTED_VALUE"""),1235.0)</f>
        <v>1235</v>
      </c>
      <c r="C87" s="4">
        <f>IFERROR(__xludf.DUMMYFUNCTION("""COMPUTED_VALUE"""),60.0)</f>
        <v>60</v>
      </c>
      <c r="D87" s="4">
        <f>IFERROR(__xludf.DUMMYFUNCTION("""COMPUTED_VALUE"""),379.0)</f>
        <v>379</v>
      </c>
      <c r="E87" s="4">
        <f>IFERROR(__xludf.DUMMYFUNCTION("""COMPUTED_VALUE"""),3.0)</f>
        <v>3</v>
      </c>
      <c r="F87" s="4">
        <f>IFERROR(__xludf.DUMMYFUNCTION("""COMPUTED_VALUE"""),5.0)</f>
        <v>5</v>
      </c>
      <c r="G87" s="4">
        <f>IFERROR(__xludf.DUMMYFUNCTION("""COMPUTED_VALUE"""),2.0)</f>
        <v>2</v>
      </c>
      <c r="H87" s="4">
        <f>IFERROR(__xludf.DUMMYFUNCTION("""COMPUTED_VALUE"""),0.0)</f>
        <v>0</v>
      </c>
      <c r="I87" s="2" t="str">
        <f>IFERROR(__xludf.DUMMYFUNCTION("""COMPUTED_VALUE"""),"random")</f>
        <v>random</v>
      </c>
      <c r="J87" s="2">
        <f t="shared" si="2"/>
        <v>9</v>
      </c>
      <c r="K87" s="2">
        <f t="shared" si="3"/>
        <v>1000</v>
      </c>
      <c r="L87" s="2" t="str">
        <f t="shared" si="4"/>
        <v>P</v>
      </c>
    </row>
    <row r="88">
      <c r="A88" s="2" t="str">
        <f>IFERROR(__xludf.DUMMYFUNCTION("""COMPUTED_VALUE"""),"examples/random/sparse_10000_2_9")</f>
        <v>examples/random/sparse_10000_2_9</v>
      </c>
      <c r="B88" s="4">
        <f>IFERROR(__xludf.DUMMYFUNCTION("""COMPUTED_VALUE"""),30000.0)</f>
        <v>30000</v>
      </c>
      <c r="C88" s="4">
        <f>IFERROR(__xludf.DUMMYFUNCTION("""COMPUTED_VALUE"""),60.0)</f>
        <v>60</v>
      </c>
      <c r="D88" s="4">
        <f>IFERROR(__xludf.DUMMYFUNCTION("""COMPUTED_VALUE"""),60000.0)</f>
        <v>60000</v>
      </c>
      <c r="E88" s="4">
        <f>IFERROR(__xludf.DUMMYFUNCTION("""COMPUTED_VALUE"""),1397.0)</f>
        <v>1397</v>
      </c>
      <c r="F88" s="4">
        <f>IFERROR(__xludf.DUMMYFUNCTION("""COMPUTED_VALUE"""),2486.0)</f>
        <v>2486</v>
      </c>
      <c r="G88" s="4">
        <f>IFERROR(__xludf.DUMMYFUNCTION("""COMPUTED_VALUE"""),83.0)</f>
        <v>83</v>
      </c>
      <c r="H88" s="4">
        <f>IFERROR(__xludf.DUMMYFUNCTION("""COMPUTED_VALUE"""),16.0)</f>
        <v>16</v>
      </c>
      <c r="I88" s="2" t="str">
        <f>IFERROR(__xludf.DUMMYFUNCTION("""COMPUTED_VALUE"""),"random")</f>
        <v>random</v>
      </c>
      <c r="J88" s="2">
        <f t="shared" si="2"/>
        <v>13</v>
      </c>
      <c r="K88" s="2">
        <f t="shared" si="3"/>
        <v>20000</v>
      </c>
      <c r="L88" s="2" t="str">
        <f t="shared" si="4"/>
        <v>P</v>
      </c>
    </row>
    <row r="89">
      <c r="A89" s="2" t="str">
        <f>IFERROR(__xludf.DUMMYFUNCTION("""COMPUTED_VALUE"""),"examples/random/sparse_100_3_9")</f>
        <v>examples/random/sparse_100_3_9</v>
      </c>
      <c r="B89" s="4">
        <f>IFERROR(__xludf.DUMMYFUNCTION("""COMPUTED_VALUE"""),400.0)</f>
        <v>400</v>
      </c>
      <c r="C89" s="4">
        <f>IFERROR(__xludf.DUMMYFUNCTION("""COMPUTED_VALUE"""),60.0)</f>
        <v>60</v>
      </c>
      <c r="D89" s="4">
        <f>IFERROR(__xludf.DUMMYFUNCTION("""COMPUTED_VALUE"""),14.0)</f>
        <v>14</v>
      </c>
      <c r="E89" s="4">
        <f>IFERROR(__xludf.DUMMYFUNCTION("""COMPUTED_VALUE"""),0.0)</f>
        <v>0</v>
      </c>
      <c r="F89" s="4">
        <f>IFERROR(__xludf.DUMMYFUNCTION("""COMPUTED_VALUE"""),0.0)</f>
        <v>0</v>
      </c>
      <c r="G89" s="4">
        <f>IFERROR(__xludf.DUMMYFUNCTION("""COMPUTED_VALUE"""),0.0)</f>
        <v>0</v>
      </c>
      <c r="H89" s="4">
        <f>IFERROR(__xludf.DUMMYFUNCTION("""COMPUTED_VALUE"""),0.0)</f>
        <v>0</v>
      </c>
      <c r="I89" s="2" t="str">
        <f>IFERROR(__xludf.DUMMYFUNCTION("""COMPUTED_VALUE"""),"random")</f>
        <v>random</v>
      </c>
      <c r="J89" s="2">
        <f t="shared" si="2"/>
        <v>8</v>
      </c>
      <c r="K89" s="2">
        <f t="shared" si="3"/>
        <v>500</v>
      </c>
      <c r="L89" s="2">
        <f t="shared" si="4"/>
        <v>0</v>
      </c>
    </row>
    <row r="90">
      <c r="A90" s="2" t="str">
        <f>IFERROR(__xludf.DUMMYFUNCTION("""COMPUTED_VALUE"""),"examples/random/sparse_100000_10_6")</f>
        <v>examples/random/sparse_100000_10_6</v>
      </c>
      <c r="B90" s="4">
        <f>IFERROR(__xludf.DUMMYFUNCTION("""COMPUTED_VALUE"""),1100000.0)</f>
        <v>1100000</v>
      </c>
      <c r="C90" s="4">
        <f>IFERROR(__xludf.DUMMYFUNCTION("""COMPUTED_VALUE"""),60.0)</f>
        <v>60</v>
      </c>
      <c r="D90" s="4">
        <f>IFERROR(__xludf.DUMMYFUNCTION("""COMPUTED_VALUE"""),60000.0)</f>
        <v>60000</v>
      </c>
      <c r="E90" s="4">
        <f>IFERROR(__xludf.DUMMYFUNCTION("""COMPUTED_VALUE"""),60000.0)</f>
        <v>60000</v>
      </c>
      <c r="F90" s="4">
        <f>IFERROR(__xludf.DUMMYFUNCTION("""COMPUTED_VALUE"""),60000.0)</f>
        <v>60000</v>
      </c>
      <c r="G90" s="4">
        <f>IFERROR(__xludf.DUMMYFUNCTION("""COMPUTED_VALUE"""),1802.0)</f>
        <v>1802</v>
      </c>
      <c r="H90" s="4">
        <f>IFERROR(__xludf.DUMMYFUNCTION("""COMPUTED_VALUE"""),560.0)</f>
        <v>560</v>
      </c>
      <c r="I90" s="2" t="str">
        <f>IFERROR(__xludf.DUMMYFUNCTION("""COMPUTED_VALUE"""),"random")</f>
        <v>random</v>
      </c>
      <c r="J90" s="2">
        <f t="shared" si="2"/>
        <v>18</v>
      </c>
      <c r="K90" s="2">
        <f t="shared" si="3"/>
        <v>1000000</v>
      </c>
      <c r="L90" s="2" t="str">
        <f t="shared" si="4"/>
        <v>P</v>
      </c>
    </row>
    <row r="91">
      <c r="A91" s="2" t="str">
        <f>IFERROR(__xludf.DUMMYFUNCTION("""COMPUTED_VALUE"""),"examples/random/dense_1000_1_4")</f>
        <v>examples/random/dense_1000_1_4</v>
      </c>
      <c r="B91" s="4">
        <f>IFERROR(__xludf.DUMMYFUNCTION("""COMPUTED_VALUE"""),10867.0)</f>
        <v>10867</v>
      </c>
      <c r="C91" s="4">
        <f>IFERROR(__xludf.DUMMYFUNCTION("""COMPUTED_VALUE"""),60.0)</f>
        <v>60</v>
      </c>
      <c r="D91" s="4">
        <f>IFERROR(__xludf.DUMMYFUNCTION("""COMPUTED_VALUE"""),49532.0)</f>
        <v>49532</v>
      </c>
      <c r="E91" s="4">
        <f>IFERROR(__xludf.DUMMYFUNCTION("""COMPUTED_VALUE"""),144.0)</f>
        <v>144</v>
      </c>
      <c r="F91" s="4">
        <f>IFERROR(__xludf.DUMMYFUNCTION("""COMPUTED_VALUE"""),195.0)</f>
        <v>195</v>
      </c>
      <c r="G91" s="4">
        <f>IFERROR(__xludf.DUMMYFUNCTION("""COMPUTED_VALUE"""),8.0)</f>
        <v>8</v>
      </c>
      <c r="H91" s="4">
        <f>IFERROR(__xludf.DUMMYFUNCTION("""COMPUTED_VALUE"""),2.0)</f>
        <v>2</v>
      </c>
      <c r="I91" s="2" t="str">
        <f>IFERROR(__xludf.DUMMYFUNCTION("""COMPUTED_VALUE"""),"random")</f>
        <v>random</v>
      </c>
      <c r="J91" s="2">
        <f t="shared" si="2"/>
        <v>12</v>
      </c>
      <c r="K91" s="2">
        <f t="shared" si="3"/>
        <v>10000</v>
      </c>
      <c r="L91" s="2" t="str">
        <f t="shared" si="4"/>
        <v>P</v>
      </c>
    </row>
    <row r="92">
      <c r="A92" s="2" t="str">
        <f>IFERROR(__xludf.DUMMYFUNCTION("""COMPUTED_VALUE"""),"examples/random/sparse_300_3_4")</f>
        <v>examples/random/sparse_300_3_4</v>
      </c>
      <c r="B92" s="4">
        <f>IFERROR(__xludf.DUMMYFUNCTION("""COMPUTED_VALUE"""),1200.0)</f>
        <v>1200</v>
      </c>
      <c r="C92" s="4">
        <f>IFERROR(__xludf.DUMMYFUNCTION("""COMPUTED_VALUE"""),60.0)</f>
        <v>60</v>
      </c>
      <c r="D92" s="4">
        <f>IFERROR(__xludf.DUMMYFUNCTION("""COMPUTED_VALUE"""),344.0)</f>
        <v>344</v>
      </c>
      <c r="E92" s="4">
        <f>IFERROR(__xludf.DUMMYFUNCTION("""COMPUTED_VALUE"""),2.0)</f>
        <v>2</v>
      </c>
      <c r="F92" s="4">
        <f>IFERROR(__xludf.DUMMYFUNCTION("""COMPUTED_VALUE"""),5.0)</f>
        <v>5</v>
      </c>
      <c r="G92" s="4">
        <f>IFERROR(__xludf.DUMMYFUNCTION("""COMPUTED_VALUE"""),2.0)</f>
        <v>2</v>
      </c>
      <c r="H92" s="4">
        <f>IFERROR(__xludf.DUMMYFUNCTION("""COMPUTED_VALUE"""),0.0)</f>
        <v>0</v>
      </c>
      <c r="I92" s="2" t="str">
        <f>IFERROR(__xludf.DUMMYFUNCTION("""COMPUTED_VALUE"""),"random")</f>
        <v>random</v>
      </c>
      <c r="J92" s="2">
        <f t="shared" si="2"/>
        <v>9</v>
      </c>
      <c r="K92" s="2">
        <f t="shared" si="3"/>
        <v>1000</v>
      </c>
      <c r="L92" s="2" t="str">
        <f t="shared" si="4"/>
        <v>P</v>
      </c>
    </row>
    <row r="93">
      <c r="A93" s="2" t="str">
        <f>IFERROR(__xludf.DUMMYFUNCTION("""COMPUTED_VALUE"""),"examples/random/sparse_300_10_3")</f>
        <v>examples/random/sparse_300_10_3</v>
      </c>
      <c r="B93" s="4">
        <f>IFERROR(__xludf.DUMMYFUNCTION("""COMPUTED_VALUE"""),3300.0)</f>
        <v>3300</v>
      </c>
      <c r="C93" s="4">
        <f>IFERROR(__xludf.DUMMYFUNCTION("""COMPUTED_VALUE"""),60.0)</f>
        <v>60</v>
      </c>
      <c r="D93" s="4">
        <f>IFERROR(__xludf.DUMMYFUNCTION("""COMPUTED_VALUE"""),1332.0)</f>
        <v>1332</v>
      </c>
      <c r="E93" s="4">
        <f>IFERROR(__xludf.DUMMYFUNCTION("""COMPUTED_VALUE"""),13.0)</f>
        <v>13</v>
      </c>
      <c r="F93" s="4">
        <f>IFERROR(__xludf.DUMMYFUNCTION("""COMPUTED_VALUE"""),17.0)</f>
        <v>17</v>
      </c>
      <c r="G93" s="4">
        <f>IFERROR(__xludf.DUMMYFUNCTION("""COMPUTED_VALUE"""),2.0)</f>
        <v>2</v>
      </c>
      <c r="H93" s="4">
        <f>IFERROR(__xludf.DUMMYFUNCTION("""COMPUTED_VALUE"""),0.0)</f>
        <v>0</v>
      </c>
      <c r="I93" s="2" t="str">
        <f>IFERROR(__xludf.DUMMYFUNCTION("""COMPUTED_VALUE"""),"random")</f>
        <v>random</v>
      </c>
      <c r="J93" s="2">
        <f t="shared" si="2"/>
        <v>11</v>
      </c>
      <c r="K93" s="2">
        <f t="shared" si="3"/>
        <v>5000</v>
      </c>
      <c r="L93" s="2" t="str">
        <f t="shared" si="4"/>
        <v>P</v>
      </c>
    </row>
    <row r="94">
      <c r="A94" s="2" t="str">
        <f>IFERROR(__xludf.DUMMYFUNCTION("""COMPUTED_VALUE"""),"examples/random/dense_300_1_2")</f>
        <v>examples/random/dense_300_1_2</v>
      </c>
      <c r="B94" s="4">
        <f>IFERROR(__xludf.DUMMYFUNCTION("""COMPUTED_VALUE"""),1292.0)</f>
        <v>1292</v>
      </c>
      <c r="C94" s="4">
        <f>IFERROR(__xludf.DUMMYFUNCTION("""COMPUTED_VALUE"""),60.0)</f>
        <v>60</v>
      </c>
      <c r="D94" s="4">
        <f>IFERROR(__xludf.DUMMYFUNCTION("""COMPUTED_VALUE"""),344.0)</f>
        <v>344</v>
      </c>
      <c r="E94" s="4">
        <f>IFERROR(__xludf.DUMMYFUNCTION("""COMPUTED_VALUE"""),3.0)</f>
        <v>3</v>
      </c>
      <c r="F94" s="4">
        <f>IFERROR(__xludf.DUMMYFUNCTION("""COMPUTED_VALUE"""),5.0)</f>
        <v>5</v>
      </c>
      <c r="G94" s="4">
        <f>IFERROR(__xludf.DUMMYFUNCTION("""COMPUTED_VALUE"""),2.0)</f>
        <v>2</v>
      </c>
      <c r="H94" s="4">
        <f>IFERROR(__xludf.DUMMYFUNCTION("""COMPUTED_VALUE"""),0.0)</f>
        <v>0</v>
      </c>
      <c r="I94" s="2" t="str">
        <f>IFERROR(__xludf.DUMMYFUNCTION("""COMPUTED_VALUE"""),"random")</f>
        <v>random</v>
      </c>
      <c r="J94" s="2">
        <f t="shared" si="2"/>
        <v>9</v>
      </c>
      <c r="K94" s="2">
        <f t="shared" si="3"/>
        <v>1000</v>
      </c>
      <c r="L94" s="2" t="str">
        <f t="shared" si="4"/>
        <v>P</v>
      </c>
    </row>
    <row r="95">
      <c r="A95" s="2" t="str">
        <f>IFERROR(__xludf.DUMMYFUNCTION("""COMPUTED_VALUE"""),"examples/random/sparse_3000_3_1")</f>
        <v>examples/random/sparse_3000_3_1</v>
      </c>
      <c r="B95" s="4">
        <f>IFERROR(__xludf.DUMMYFUNCTION("""COMPUTED_VALUE"""),12000.0)</f>
        <v>12000</v>
      </c>
      <c r="C95" s="4">
        <f>IFERROR(__xludf.DUMMYFUNCTION("""COMPUTED_VALUE"""),60.0)</f>
        <v>60</v>
      </c>
      <c r="D95" s="4">
        <f>IFERROR(__xludf.DUMMYFUNCTION("""COMPUTED_VALUE"""),60000.0)</f>
        <v>60000</v>
      </c>
      <c r="E95" s="4">
        <f>IFERROR(__xludf.DUMMYFUNCTION("""COMPUTED_VALUE"""),283.0)</f>
        <v>283</v>
      </c>
      <c r="F95" s="4">
        <f>IFERROR(__xludf.DUMMYFUNCTION("""COMPUTED_VALUE"""),507.0)</f>
        <v>507</v>
      </c>
      <c r="G95" s="4">
        <f>IFERROR(__xludf.DUMMYFUNCTION("""COMPUTED_VALUE"""),24.0)</f>
        <v>24</v>
      </c>
      <c r="H95" s="4">
        <f>IFERROR(__xludf.DUMMYFUNCTION("""COMPUTED_VALUE"""),5.0)</f>
        <v>5</v>
      </c>
      <c r="I95" s="2" t="str">
        <f>IFERROR(__xludf.DUMMYFUNCTION("""COMPUTED_VALUE"""),"random")</f>
        <v>random</v>
      </c>
      <c r="J95" s="2">
        <f t="shared" si="2"/>
        <v>12</v>
      </c>
      <c r="K95" s="2">
        <f t="shared" si="3"/>
        <v>10000</v>
      </c>
      <c r="L95" s="2" t="str">
        <f t="shared" si="4"/>
        <v>P</v>
      </c>
    </row>
    <row r="96">
      <c r="A96" s="2" t="str">
        <f>IFERROR(__xludf.DUMMYFUNCTION("""COMPUTED_VALUE"""),"examples/random/sparse_100000_2_4")</f>
        <v>examples/random/sparse_100000_2_4</v>
      </c>
      <c r="B96" s="4">
        <f>IFERROR(__xludf.DUMMYFUNCTION("""COMPUTED_VALUE"""),300000.0)</f>
        <v>300000</v>
      </c>
      <c r="C96" s="4">
        <f>IFERROR(__xludf.DUMMYFUNCTION("""COMPUTED_VALUE"""),60.0)</f>
        <v>60</v>
      </c>
      <c r="D96" s="4">
        <f>IFERROR(__xludf.DUMMYFUNCTION("""COMPUTED_VALUE"""),60000.0)</f>
        <v>60000</v>
      </c>
      <c r="E96" s="4">
        <f>IFERROR(__xludf.DUMMYFUNCTION("""COMPUTED_VALUE"""),60000.0)</f>
        <v>60000</v>
      </c>
      <c r="F96" s="4">
        <f>IFERROR(__xludf.DUMMYFUNCTION("""COMPUTED_VALUE"""),60000.0)</f>
        <v>60000</v>
      </c>
      <c r="G96" s="4">
        <f>IFERROR(__xludf.DUMMYFUNCTION("""COMPUTED_VALUE"""),1126.0)</f>
        <v>1126</v>
      </c>
      <c r="H96" s="4">
        <f>IFERROR(__xludf.DUMMYFUNCTION("""COMPUTED_VALUE"""),217.0)</f>
        <v>217</v>
      </c>
      <c r="I96" s="2" t="str">
        <f>IFERROR(__xludf.DUMMYFUNCTION("""COMPUTED_VALUE"""),"random")</f>
        <v>random</v>
      </c>
      <c r="J96" s="2">
        <f t="shared" si="2"/>
        <v>16</v>
      </c>
      <c r="K96" s="2">
        <f t="shared" si="3"/>
        <v>200000</v>
      </c>
      <c r="L96" s="2" t="str">
        <f t="shared" si="4"/>
        <v>P</v>
      </c>
    </row>
    <row r="97">
      <c r="A97" s="2" t="str">
        <f>IFERROR(__xludf.DUMMYFUNCTION("""COMPUTED_VALUE"""),"examples/random/dense_100_3_1")</f>
        <v>examples/random/dense_100_3_1</v>
      </c>
      <c r="B97" s="4">
        <f>IFERROR(__xludf.DUMMYFUNCTION("""COMPUTED_VALUE"""),408.0)</f>
        <v>408</v>
      </c>
      <c r="C97" s="4">
        <f>IFERROR(__xludf.DUMMYFUNCTION("""COMPUTED_VALUE"""),60.0)</f>
        <v>60</v>
      </c>
      <c r="D97" s="4">
        <f>IFERROR(__xludf.DUMMYFUNCTION("""COMPUTED_VALUE"""),13.0)</f>
        <v>13</v>
      </c>
      <c r="E97" s="4">
        <f>IFERROR(__xludf.DUMMYFUNCTION("""COMPUTED_VALUE"""),0.0)</f>
        <v>0</v>
      </c>
      <c r="F97" s="4">
        <f>IFERROR(__xludf.DUMMYFUNCTION("""COMPUTED_VALUE"""),0.0)</f>
        <v>0</v>
      </c>
      <c r="G97" s="4">
        <f>IFERROR(__xludf.DUMMYFUNCTION("""COMPUTED_VALUE"""),0.0)</f>
        <v>0</v>
      </c>
      <c r="H97" s="4">
        <f>IFERROR(__xludf.DUMMYFUNCTION("""COMPUTED_VALUE"""),0.0)</f>
        <v>0</v>
      </c>
      <c r="I97" s="2" t="str">
        <f>IFERROR(__xludf.DUMMYFUNCTION("""COMPUTED_VALUE"""),"random")</f>
        <v>random</v>
      </c>
      <c r="J97" s="2">
        <f t="shared" si="2"/>
        <v>8</v>
      </c>
      <c r="K97" s="2">
        <f t="shared" si="3"/>
        <v>500</v>
      </c>
      <c r="L97" s="2">
        <f t="shared" si="4"/>
        <v>0</v>
      </c>
    </row>
    <row r="98">
      <c r="A98" s="2" t="str">
        <f>IFERROR(__xludf.DUMMYFUNCTION("""COMPUTED_VALUE"""),"examples/random/sparse_1000_10_1")</f>
        <v>examples/random/sparse_1000_10_1</v>
      </c>
      <c r="B98" s="4">
        <f>IFERROR(__xludf.DUMMYFUNCTION("""COMPUTED_VALUE"""),11000.0)</f>
        <v>11000</v>
      </c>
      <c r="C98" s="4">
        <f>IFERROR(__xludf.DUMMYFUNCTION("""COMPUTED_VALUE"""),60.0)</f>
        <v>60</v>
      </c>
      <c r="D98" s="4">
        <f>IFERROR(__xludf.DUMMYFUNCTION("""COMPUTED_VALUE"""),51115.0)</f>
        <v>51115</v>
      </c>
      <c r="E98" s="4">
        <f>IFERROR(__xludf.DUMMYFUNCTION("""COMPUTED_VALUE"""),147.0)</f>
        <v>147</v>
      </c>
      <c r="F98" s="4">
        <f>IFERROR(__xludf.DUMMYFUNCTION("""COMPUTED_VALUE"""),212.0)</f>
        <v>212</v>
      </c>
      <c r="G98" s="4">
        <f>IFERROR(__xludf.DUMMYFUNCTION("""COMPUTED_VALUE"""),9.0)</f>
        <v>9</v>
      </c>
      <c r="H98" s="4">
        <f>IFERROR(__xludf.DUMMYFUNCTION("""COMPUTED_VALUE"""),3.0)</f>
        <v>3</v>
      </c>
      <c r="I98" s="2" t="str">
        <f>IFERROR(__xludf.DUMMYFUNCTION("""COMPUTED_VALUE"""),"random")</f>
        <v>random</v>
      </c>
      <c r="J98" s="2">
        <f t="shared" si="2"/>
        <v>12</v>
      </c>
      <c r="K98" s="2">
        <f t="shared" si="3"/>
        <v>10000</v>
      </c>
      <c r="L98" s="2" t="str">
        <f t="shared" si="4"/>
        <v>P</v>
      </c>
    </row>
    <row r="99">
      <c r="A99" s="2" t="str">
        <f>IFERROR(__xludf.DUMMYFUNCTION("""COMPUTED_VALUE"""),"examples/random/dense_10000_2_4")</f>
        <v>examples/random/dense_10000_2_4</v>
      </c>
      <c r="B99" s="4">
        <f>IFERROR(__xludf.DUMMYFUNCTION("""COMPUTED_VALUE"""),2008512.0)</f>
        <v>2008512</v>
      </c>
      <c r="C99" s="4">
        <f>IFERROR(__xludf.DUMMYFUNCTION("""COMPUTED_VALUE"""),60.0)</f>
        <v>60</v>
      </c>
      <c r="D99" s="4">
        <f>IFERROR(__xludf.DUMMYFUNCTION("""COMPUTED_VALUE"""),60000.0)</f>
        <v>60000</v>
      </c>
      <c r="E99" s="4">
        <f>IFERROR(__xludf.DUMMYFUNCTION("""COMPUTED_VALUE"""),60000.0)</f>
        <v>60000</v>
      </c>
      <c r="F99" s="4">
        <f>IFERROR(__xludf.DUMMYFUNCTION("""COMPUTED_VALUE"""),60000.0)</f>
        <v>60000</v>
      </c>
      <c r="G99" s="4">
        <f>IFERROR(__xludf.DUMMYFUNCTION("""COMPUTED_VALUE"""),635.0)</f>
        <v>635</v>
      </c>
      <c r="H99" s="4">
        <f>IFERROR(__xludf.DUMMYFUNCTION("""COMPUTED_VALUE"""),442.0)</f>
        <v>442</v>
      </c>
      <c r="I99" s="2" t="str">
        <f>IFERROR(__xludf.DUMMYFUNCTION("""COMPUTED_VALUE"""),"random")</f>
        <v>random</v>
      </c>
      <c r="J99" s="2">
        <f t="shared" si="2"/>
        <v>19</v>
      </c>
      <c r="K99" s="2">
        <f t="shared" si="3"/>
        <v>2000000</v>
      </c>
      <c r="L99" s="2" t="str">
        <f t="shared" si="4"/>
        <v>P</v>
      </c>
    </row>
    <row r="100">
      <c r="A100" s="2" t="str">
        <f>IFERROR(__xludf.DUMMYFUNCTION("""COMPUTED_VALUE"""),"examples/random/sparse_300_1_10")</f>
        <v>examples/random/sparse_300_1_10</v>
      </c>
      <c r="B100" s="4">
        <f>IFERROR(__xludf.DUMMYFUNCTION("""COMPUTED_VALUE"""),600.0)</f>
        <v>600</v>
      </c>
      <c r="C100" s="4">
        <f>IFERROR(__xludf.DUMMYFUNCTION("""COMPUTED_VALUE"""),60.0)</f>
        <v>60</v>
      </c>
      <c r="D100" s="4">
        <f>IFERROR(__xludf.DUMMYFUNCTION("""COMPUTED_VALUE"""),14.0)</f>
        <v>14</v>
      </c>
      <c r="E100" s="4">
        <f>IFERROR(__xludf.DUMMYFUNCTION("""COMPUTED_VALUE"""),0.0)</f>
        <v>0</v>
      </c>
      <c r="F100" s="4">
        <f>IFERROR(__xludf.DUMMYFUNCTION("""COMPUTED_VALUE"""),0.0)</f>
        <v>0</v>
      </c>
      <c r="G100" s="4">
        <f>IFERROR(__xludf.DUMMYFUNCTION("""COMPUTED_VALUE"""),2.0)</f>
        <v>2</v>
      </c>
      <c r="H100" s="4">
        <f>IFERROR(__xludf.DUMMYFUNCTION("""COMPUTED_VALUE"""),0.0)</f>
        <v>0</v>
      </c>
      <c r="I100" s="2" t="str">
        <f>IFERROR(__xludf.DUMMYFUNCTION("""COMPUTED_VALUE"""),"random")</f>
        <v>random</v>
      </c>
      <c r="J100" s="2">
        <f t="shared" si="2"/>
        <v>8</v>
      </c>
      <c r="K100" s="2">
        <f t="shared" si="3"/>
        <v>500</v>
      </c>
      <c r="L100" s="2" t="str">
        <f t="shared" si="4"/>
        <v>BP</v>
      </c>
    </row>
    <row r="101">
      <c r="A101" s="2" t="str">
        <f>IFERROR(__xludf.DUMMYFUNCTION("""COMPUTED_VALUE"""),"examples/random/dense_300_2_6")</f>
        <v>examples/random/dense_300_2_6</v>
      </c>
      <c r="B101" s="4">
        <f>IFERROR(__xludf.DUMMYFUNCTION("""COMPUTED_VALUE"""),2085.0)</f>
        <v>2085</v>
      </c>
      <c r="C101" s="4">
        <f>IFERROR(__xludf.DUMMYFUNCTION("""COMPUTED_VALUE"""),60.0)</f>
        <v>60</v>
      </c>
      <c r="D101" s="4">
        <f>IFERROR(__xludf.DUMMYFUNCTION("""COMPUTED_VALUE"""),817.0)</f>
        <v>817</v>
      </c>
      <c r="E101" s="4">
        <f>IFERROR(__xludf.DUMMYFUNCTION("""COMPUTED_VALUE"""),7.0)</f>
        <v>7</v>
      </c>
      <c r="F101" s="4">
        <f>IFERROR(__xludf.DUMMYFUNCTION("""COMPUTED_VALUE"""),10.0)</f>
        <v>10</v>
      </c>
      <c r="G101" s="4">
        <f>IFERROR(__xludf.DUMMYFUNCTION("""COMPUTED_VALUE"""),2.0)</f>
        <v>2</v>
      </c>
      <c r="H101" s="4">
        <f>IFERROR(__xludf.DUMMYFUNCTION("""COMPUTED_VALUE"""),0.0)</f>
        <v>0</v>
      </c>
      <c r="I101" s="2" t="str">
        <f>IFERROR(__xludf.DUMMYFUNCTION("""COMPUTED_VALUE"""),"random")</f>
        <v>random</v>
      </c>
      <c r="J101" s="2">
        <f t="shared" si="2"/>
        <v>10</v>
      </c>
      <c r="K101" s="2">
        <f t="shared" si="3"/>
        <v>2000</v>
      </c>
      <c r="L101" s="2" t="str">
        <f t="shared" si="4"/>
        <v>P</v>
      </c>
    </row>
    <row r="102">
      <c r="A102" s="2" t="str">
        <f>IFERROR(__xludf.DUMMYFUNCTION("""COMPUTED_VALUE"""),"examples/random/sparse_3000_10_5")</f>
        <v>examples/random/sparse_3000_10_5</v>
      </c>
      <c r="B102" s="4">
        <f>IFERROR(__xludf.DUMMYFUNCTION("""COMPUTED_VALUE"""),33000.0)</f>
        <v>33000</v>
      </c>
      <c r="C102" s="4">
        <f>IFERROR(__xludf.DUMMYFUNCTION("""COMPUTED_VALUE"""),60.0)</f>
        <v>60</v>
      </c>
      <c r="D102" s="4">
        <f>IFERROR(__xludf.DUMMYFUNCTION("""COMPUTED_VALUE"""),60000.0)</f>
        <v>60000</v>
      </c>
      <c r="E102" s="4">
        <f>IFERROR(__xludf.DUMMYFUNCTION("""COMPUTED_VALUE"""),1374.0)</f>
        <v>1374</v>
      </c>
      <c r="F102" s="4">
        <f>IFERROR(__xludf.DUMMYFUNCTION("""COMPUTED_VALUE"""),2002.0)</f>
        <v>2002</v>
      </c>
      <c r="G102" s="4">
        <f>IFERROR(__xludf.DUMMYFUNCTION("""COMPUTED_VALUE"""),30.0)</f>
        <v>30</v>
      </c>
      <c r="H102" s="4">
        <f>IFERROR(__xludf.DUMMYFUNCTION("""COMPUTED_VALUE"""),10.0)</f>
        <v>10</v>
      </c>
      <c r="I102" s="2" t="str">
        <f>IFERROR(__xludf.DUMMYFUNCTION("""COMPUTED_VALUE"""),"random")</f>
        <v>random</v>
      </c>
      <c r="J102" s="2">
        <f t="shared" si="2"/>
        <v>14</v>
      </c>
      <c r="K102" s="2">
        <f t="shared" si="3"/>
        <v>50000</v>
      </c>
      <c r="L102" s="2" t="str">
        <f t="shared" si="4"/>
        <v>P</v>
      </c>
    </row>
    <row r="103">
      <c r="A103" s="2" t="str">
        <f>IFERROR(__xludf.DUMMYFUNCTION("""COMPUTED_VALUE"""),"examples/random/sparse_1000_1_4")</f>
        <v>examples/random/sparse_1000_1_4</v>
      </c>
      <c r="B103" s="4">
        <f>IFERROR(__xludf.DUMMYFUNCTION("""COMPUTED_VALUE"""),2000.0)</f>
        <v>2000</v>
      </c>
      <c r="C103" s="4">
        <f>IFERROR(__xludf.DUMMYFUNCTION("""COMPUTED_VALUE"""),60.0)</f>
        <v>60</v>
      </c>
      <c r="D103" s="4">
        <f>IFERROR(__xludf.DUMMYFUNCTION("""COMPUTED_VALUE"""),162.0)</f>
        <v>162</v>
      </c>
      <c r="E103" s="4">
        <f>IFERROR(__xludf.DUMMYFUNCTION("""COMPUTED_VALUE"""),2.0)</f>
        <v>2</v>
      </c>
      <c r="F103" s="4">
        <f>IFERROR(__xludf.DUMMYFUNCTION("""COMPUTED_VALUE"""),1.0)</f>
        <v>1</v>
      </c>
      <c r="G103" s="4">
        <f>IFERROR(__xludf.DUMMYFUNCTION("""COMPUTED_VALUE"""),9.0)</f>
        <v>9</v>
      </c>
      <c r="H103" s="4">
        <f>IFERROR(__xludf.DUMMYFUNCTION("""COMPUTED_VALUE"""),1.0)</f>
        <v>1</v>
      </c>
      <c r="I103" s="2" t="str">
        <f>IFERROR(__xludf.DUMMYFUNCTION("""COMPUTED_VALUE"""),"random")</f>
        <v>random</v>
      </c>
      <c r="J103" s="2">
        <f t="shared" si="2"/>
        <v>10</v>
      </c>
      <c r="K103" s="2">
        <f t="shared" si="3"/>
        <v>2000</v>
      </c>
      <c r="L103" s="2" t="str">
        <f t="shared" si="4"/>
        <v>BP</v>
      </c>
    </row>
    <row r="104">
      <c r="A104" s="2" t="str">
        <f>IFERROR(__xludf.DUMMYFUNCTION("""COMPUTED_VALUE"""),"examples/random/sparse_30000_2_4")</f>
        <v>examples/random/sparse_30000_2_4</v>
      </c>
      <c r="B104" s="4">
        <f>IFERROR(__xludf.DUMMYFUNCTION("""COMPUTED_VALUE"""),90000.0)</f>
        <v>90000</v>
      </c>
      <c r="C104" s="4">
        <f>IFERROR(__xludf.DUMMYFUNCTION("""COMPUTED_VALUE"""),60.0)</f>
        <v>60</v>
      </c>
      <c r="D104" s="4">
        <f>IFERROR(__xludf.DUMMYFUNCTION("""COMPUTED_VALUE"""),60000.0)</f>
        <v>60000</v>
      </c>
      <c r="E104" s="4">
        <f>IFERROR(__xludf.DUMMYFUNCTION("""COMPUTED_VALUE"""),13688.0)</f>
        <v>13688</v>
      </c>
      <c r="F104" s="4">
        <f>IFERROR(__xludf.DUMMYFUNCTION("""COMPUTED_VALUE"""),24957.0)</f>
        <v>24957</v>
      </c>
      <c r="G104" s="4">
        <f>IFERROR(__xludf.DUMMYFUNCTION("""COMPUTED_VALUE"""),306.0)</f>
        <v>306</v>
      </c>
      <c r="H104" s="4">
        <f>IFERROR(__xludf.DUMMYFUNCTION("""COMPUTED_VALUE"""),67.0)</f>
        <v>67</v>
      </c>
      <c r="I104" s="2" t="str">
        <f>IFERROR(__xludf.DUMMYFUNCTION("""COMPUTED_VALUE"""),"random")</f>
        <v>random</v>
      </c>
      <c r="J104" s="2">
        <f t="shared" si="2"/>
        <v>15</v>
      </c>
      <c r="K104" s="2">
        <f t="shared" si="3"/>
        <v>100000</v>
      </c>
      <c r="L104" s="2" t="str">
        <f t="shared" si="4"/>
        <v>P</v>
      </c>
    </row>
    <row r="105">
      <c r="A105" s="2" t="str">
        <f>IFERROR(__xludf.DUMMYFUNCTION("""COMPUTED_VALUE"""),"examples/random/dense_3000_2_2")</f>
        <v>examples/random/dense_3000_2_2</v>
      </c>
      <c r="B105" s="4">
        <f>IFERROR(__xludf.DUMMYFUNCTION("""COMPUTED_VALUE"""),182735.0)</f>
        <v>182735</v>
      </c>
      <c r="C105" s="4">
        <f>IFERROR(__xludf.DUMMYFUNCTION("""COMPUTED_VALUE"""),60.0)</f>
        <v>60</v>
      </c>
      <c r="D105" s="4">
        <f>IFERROR(__xludf.DUMMYFUNCTION("""COMPUTED_VALUE"""),60000.0)</f>
        <v>60000</v>
      </c>
      <c r="E105" s="4">
        <f>IFERROR(__xludf.DUMMYFUNCTION("""COMPUTED_VALUE"""),8459.0)</f>
        <v>8459</v>
      </c>
      <c r="F105" s="4">
        <f>IFERROR(__xludf.DUMMYFUNCTION("""COMPUTED_VALUE"""),18415.0)</f>
        <v>18415</v>
      </c>
      <c r="G105" s="4">
        <f>IFERROR(__xludf.DUMMYFUNCTION("""COMPUTED_VALUE"""),71.0)</f>
        <v>71</v>
      </c>
      <c r="H105" s="4">
        <f>IFERROR(__xludf.DUMMYFUNCTION("""COMPUTED_VALUE"""),40.0)</f>
        <v>40</v>
      </c>
      <c r="I105" s="2" t="str">
        <f>IFERROR(__xludf.DUMMYFUNCTION("""COMPUTED_VALUE"""),"random")</f>
        <v>random</v>
      </c>
      <c r="J105" s="2">
        <f t="shared" si="2"/>
        <v>16</v>
      </c>
      <c r="K105" s="2">
        <f t="shared" si="3"/>
        <v>200000</v>
      </c>
      <c r="L105" s="2" t="str">
        <f t="shared" si="4"/>
        <v>P</v>
      </c>
    </row>
    <row r="106">
      <c r="A106" s="2" t="str">
        <f>IFERROR(__xludf.DUMMYFUNCTION("""COMPUTED_VALUE"""),"examples/random/sparse_300_1_3")</f>
        <v>examples/random/sparse_300_1_3</v>
      </c>
      <c r="B106" s="4">
        <f>IFERROR(__xludf.DUMMYFUNCTION("""COMPUTED_VALUE"""),600.0)</f>
        <v>600</v>
      </c>
      <c r="C106" s="4">
        <f>IFERROR(__xludf.DUMMYFUNCTION("""COMPUTED_VALUE"""),60.0)</f>
        <v>60</v>
      </c>
      <c r="D106" s="4">
        <f>IFERROR(__xludf.DUMMYFUNCTION("""COMPUTED_VALUE"""),15.0)</f>
        <v>15</v>
      </c>
      <c r="E106" s="4">
        <f>IFERROR(__xludf.DUMMYFUNCTION("""COMPUTED_VALUE"""),0.0)</f>
        <v>0</v>
      </c>
      <c r="F106" s="4">
        <f>IFERROR(__xludf.DUMMYFUNCTION("""COMPUTED_VALUE"""),0.0)</f>
        <v>0</v>
      </c>
      <c r="G106" s="4">
        <f>IFERROR(__xludf.DUMMYFUNCTION("""COMPUTED_VALUE"""),3.0)</f>
        <v>3</v>
      </c>
      <c r="H106" s="4">
        <f>IFERROR(__xludf.DUMMYFUNCTION("""COMPUTED_VALUE"""),0.0)</f>
        <v>0</v>
      </c>
      <c r="I106" s="2" t="str">
        <f>IFERROR(__xludf.DUMMYFUNCTION("""COMPUTED_VALUE"""),"random")</f>
        <v>random</v>
      </c>
      <c r="J106" s="2">
        <f t="shared" si="2"/>
        <v>8</v>
      </c>
      <c r="K106" s="2">
        <f t="shared" si="3"/>
        <v>500</v>
      </c>
      <c r="L106" s="2" t="str">
        <f t="shared" si="4"/>
        <v>BP</v>
      </c>
    </row>
    <row r="107">
      <c r="A107" s="2" t="str">
        <f>IFERROR(__xludf.DUMMYFUNCTION("""COMPUTED_VALUE"""),"examples/random/dense_1000_3_3")</f>
        <v>examples/random/dense_1000_3_3</v>
      </c>
      <c r="B107" s="4">
        <f>IFERROR(__xludf.DUMMYFUNCTION("""COMPUTED_VALUE"""),31042.0)</f>
        <v>31042</v>
      </c>
      <c r="C107" s="4">
        <f>IFERROR(__xludf.DUMMYFUNCTION("""COMPUTED_VALUE"""),60.0)</f>
        <v>60</v>
      </c>
      <c r="D107" s="4">
        <f>IFERROR(__xludf.DUMMYFUNCTION("""COMPUTED_VALUE"""),60000.0)</f>
        <v>60000</v>
      </c>
      <c r="E107" s="4">
        <f>IFERROR(__xludf.DUMMYFUNCTION("""COMPUTED_VALUE"""),440.0)</f>
        <v>440</v>
      </c>
      <c r="F107" s="4">
        <f>IFERROR(__xludf.DUMMYFUNCTION("""COMPUTED_VALUE"""),673.0)</f>
        <v>673</v>
      </c>
      <c r="G107" s="4">
        <f>IFERROR(__xludf.DUMMYFUNCTION("""COMPUTED_VALUE"""),14.0)</f>
        <v>14</v>
      </c>
      <c r="H107" s="4">
        <f>IFERROR(__xludf.DUMMYFUNCTION("""COMPUTED_VALUE"""),6.0)</f>
        <v>6</v>
      </c>
      <c r="I107" s="2" t="str">
        <f>IFERROR(__xludf.DUMMYFUNCTION("""COMPUTED_VALUE"""),"random")</f>
        <v>random</v>
      </c>
      <c r="J107" s="2">
        <f t="shared" si="2"/>
        <v>13</v>
      </c>
      <c r="K107" s="2">
        <f t="shared" si="3"/>
        <v>20000</v>
      </c>
      <c r="L107" s="2" t="str">
        <f t="shared" si="4"/>
        <v>P</v>
      </c>
    </row>
    <row r="108">
      <c r="A108" s="2" t="str">
        <f>IFERROR(__xludf.DUMMYFUNCTION("""COMPUTED_VALUE"""),"examples/random/sparse_10000_10_5")</f>
        <v>examples/random/sparse_10000_10_5</v>
      </c>
      <c r="B108" s="4">
        <f>IFERROR(__xludf.DUMMYFUNCTION("""COMPUTED_VALUE"""),110000.0)</f>
        <v>110000</v>
      </c>
      <c r="C108" s="4">
        <f>IFERROR(__xludf.DUMMYFUNCTION("""COMPUTED_VALUE"""),60.0)</f>
        <v>60</v>
      </c>
      <c r="D108" s="4">
        <f>IFERROR(__xludf.DUMMYFUNCTION("""COMPUTED_VALUE"""),60000.0)</f>
        <v>60000</v>
      </c>
      <c r="E108" s="4">
        <f>IFERROR(__xludf.DUMMYFUNCTION("""COMPUTED_VALUE"""),16080.0)</f>
        <v>16080</v>
      </c>
      <c r="F108" s="4">
        <f>IFERROR(__xludf.DUMMYFUNCTION("""COMPUTED_VALUE"""),23525.0)</f>
        <v>23525</v>
      </c>
      <c r="G108" s="4">
        <f>IFERROR(__xludf.DUMMYFUNCTION("""COMPUTED_VALUE"""),104.0)</f>
        <v>104</v>
      </c>
      <c r="H108" s="4">
        <f>IFERROR(__xludf.DUMMYFUNCTION("""COMPUTED_VALUE"""),34.0)</f>
        <v>34</v>
      </c>
      <c r="I108" s="2" t="str">
        <f>IFERROR(__xludf.DUMMYFUNCTION("""COMPUTED_VALUE"""),"random")</f>
        <v>random</v>
      </c>
      <c r="J108" s="2">
        <f t="shared" si="2"/>
        <v>15</v>
      </c>
      <c r="K108" s="2">
        <f t="shared" si="3"/>
        <v>100000</v>
      </c>
      <c r="L108" s="2" t="str">
        <f t="shared" si="4"/>
        <v>P</v>
      </c>
    </row>
    <row r="109">
      <c r="A109" s="2" t="str">
        <f>IFERROR(__xludf.DUMMYFUNCTION("""COMPUTED_VALUE"""),"examples/random/dense_3000_1_6")</f>
        <v>examples/random/dense_3000_1_6</v>
      </c>
      <c r="B109" s="4">
        <f>IFERROR(__xludf.DUMMYFUNCTION("""COMPUTED_VALUE"""),93267.0)</f>
        <v>93267</v>
      </c>
      <c r="C109" s="4">
        <f>IFERROR(__xludf.DUMMYFUNCTION("""COMPUTED_VALUE"""),60.0)</f>
        <v>60</v>
      </c>
      <c r="D109" s="4">
        <f>IFERROR(__xludf.DUMMYFUNCTION("""COMPUTED_VALUE"""),60000.0)</f>
        <v>60000</v>
      </c>
      <c r="E109" s="4">
        <f>IFERROR(__xludf.DUMMYFUNCTION("""COMPUTED_VALUE"""),4161.0)</f>
        <v>4161</v>
      </c>
      <c r="F109" s="4">
        <f>IFERROR(__xludf.DUMMYFUNCTION("""COMPUTED_VALUE"""),6882.0)</f>
        <v>6882</v>
      </c>
      <c r="G109" s="4">
        <f>IFERROR(__xludf.DUMMYFUNCTION("""COMPUTED_VALUE"""),43.0)</f>
        <v>43</v>
      </c>
      <c r="H109" s="4">
        <f>IFERROR(__xludf.DUMMYFUNCTION("""COMPUTED_VALUE"""),20.0)</f>
        <v>20</v>
      </c>
      <c r="I109" s="2" t="str">
        <f>IFERROR(__xludf.DUMMYFUNCTION("""COMPUTED_VALUE"""),"random")</f>
        <v>random</v>
      </c>
      <c r="J109" s="2">
        <f t="shared" si="2"/>
        <v>15</v>
      </c>
      <c r="K109" s="2">
        <f t="shared" si="3"/>
        <v>100000</v>
      </c>
      <c r="L109" s="2" t="str">
        <f t="shared" si="4"/>
        <v>P</v>
      </c>
    </row>
    <row r="110">
      <c r="A110" s="2" t="str">
        <f>IFERROR(__xludf.DUMMYFUNCTION("""COMPUTED_VALUE"""),"examples/random/dense_1000_2_9")</f>
        <v>examples/random/dense_1000_2_9</v>
      </c>
      <c r="B110" s="4">
        <f>IFERROR(__xludf.DUMMYFUNCTION("""COMPUTED_VALUE"""),21146.0)</f>
        <v>21146</v>
      </c>
      <c r="C110" s="4">
        <f>IFERROR(__xludf.DUMMYFUNCTION("""COMPUTED_VALUE"""),60.0)</f>
        <v>60</v>
      </c>
      <c r="D110" s="4">
        <f>IFERROR(__xludf.DUMMYFUNCTION("""COMPUTED_VALUE"""),60000.0)</f>
        <v>60000</v>
      </c>
      <c r="E110" s="4">
        <f>IFERROR(__xludf.DUMMYFUNCTION("""COMPUTED_VALUE"""),298.0)</f>
        <v>298</v>
      </c>
      <c r="F110" s="4">
        <f>IFERROR(__xludf.DUMMYFUNCTION("""COMPUTED_VALUE"""),428.0)</f>
        <v>428</v>
      </c>
      <c r="G110" s="4">
        <f>IFERROR(__xludf.DUMMYFUNCTION("""COMPUTED_VALUE"""),11.0)</f>
        <v>11</v>
      </c>
      <c r="H110" s="4">
        <f>IFERROR(__xludf.DUMMYFUNCTION("""COMPUTED_VALUE"""),4.0)</f>
        <v>4</v>
      </c>
      <c r="I110" s="2" t="str">
        <f>IFERROR(__xludf.DUMMYFUNCTION("""COMPUTED_VALUE"""),"random")</f>
        <v>random</v>
      </c>
      <c r="J110" s="2">
        <f t="shared" si="2"/>
        <v>13</v>
      </c>
      <c r="K110" s="2">
        <f t="shared" si="3"/>
        <v>20000</v>
      </c>
      <c r="L110" s="2" t="str">
        <f t="shared" si="4"/>
        <v>P</v>
      </c>
    </row>
    <row r="111">
      <c r="A111" s="2" t="str">
        <f>IFERROR(__xludf.DUMMYFUNCTION("""COMPUTED_VALUE"""),"examples/random/sparse_300_2_7")</f>
        <v>examples/random/sparse_300_2_7</v>
      </c>
      <c r="B111" s="4">
        <f>IFERROR(__xludf.DUMMYFUNCTION("""COMPUTED_VALUE"""),900.0)</f>
        <v>900</v>
      </c>
      <c r="C111" s="4">
        <f>IFERROR(__xludf.DUMMYFUNCTION("""COMPUTED_VALUE"""),60.0)</f>
        <v>60</v>
      </c>
      <c r="D111" s="4">
        <f>IFERROR(__xludf.DUMMYFUNCTION("""COMPUTED_VALUE"""),157.0)</f>
        <v>157</v>
      </c>
      <c r="E111" s="4">
        <f>IFERROR(__xludf.DUMMYFUNCTION("""COMPUTED_VALUE"""),1.0)</f>
        <v>1</v>
      </c>
      <c r="F111" s="4">
        <f>IFERROR(__xludf.DUMMYFUNCTION("""COMPUTED_VALUE"""),2.0)</f>
        <v>2</v>
      </c>
      <c r="G111" s="4">
        <f>IFERROR(__xludf.DUMMYFUNCTION("""COMPUTED_VALUE"""),2.0)</f>
        <v>2</v>
      </c>
      <c r="H111" s="4">
        <f>IFERROR(__xludf.DUMMYFUNCTION("""COMPUTED_VALUE"""),0.0)</f>
        <v>0</v>
      </c>
      <c r="I111" s="2" t="str">
        <f>IFERROR(__xludf.DUMMYFUNCTION("""COMPUTED_VALUE"""),"random")</f>
        <v>random</v>
      </c>
      <c r="J111" s="2">
        <f t="shared" si="2"/>
        <v>9</v>
      </c>
      <c r="K111" s="2">
        <f t="shared" si="3"/>
        <v>1000</v>
      </c>
      <c r="L111" s="2" t="str">
        <f t="shared" si="4"/>
        <v>P</v>
      </c>
    </row>
    <row r="112">
      <c r="A112" s="2" t="str">
        <f>IFERROR(__xludf.DUMMYFUNCTION("""COMPUTED_VALUE"""),"examples/random/sparse_100_10_1")</f>
        <v>examples/random/sparse_100_10_1</v>
      </c>
      <c r="B112" s="4">
        <f>IFERROR(__xludf.DUMMYFUNCTION("""COMPUTED_VALUE"""),1100.0)</f>
        <v>1100</v>
      </c>
      <c r="C112" s="4">
        <f>IFERROR(__xludf.DUMMYFUNCTION("""COMPUTED_VALUE"""),60.0)</f>
        <v>60</v>
      </c>
      <c r="D112" s="4">
        <f>IFERROR(__xludf.DUMMYFUNCTION("""COMPUTED_VALUE"""),53.0)</f>
        <v>53</v>
      </c>
      <c r="E112" s="4">
        <f>IFERROR(__xludf.DUMMYFUNCTION("""COMPUTED_VALUE"""),1.0)</f>
        <v>1</v>
      </c>
      <c r="F112" s="4">
        <f>IFERROR(__xludf.DUMMYFUNCTION("""COMPUTED_VALUE"""),3.0)</f>
        <v>3</v>
      </c>
      <c r="G112" s="4">
        <f>IFERROR(__xludf.DUMMYFUNCTION("""COMPUTED_VALUE"""),0.0)</f>
        <v>0</v>
      </c>
      <c r="H112" s="4">
        <f>IFERROR(__xludf.DUMMYFUNCTION("""COMPUTED_VALUE"""),0.0)</f>
        <v>0</v>
      </c>
      <c r="I112" s="2" t="str">
        <f>IFERROR(__xludf.DUMMYFUNCTION("""COMPUTED_VALUE"""),"random")</f>
        <v>random</v>
      </c>
      <c r="J112" s="2">
        <f t="shared" si="2"/>
        <v>9</v>
      </c>
      <c r="K112" s="2">
        <f t="shared" si="3"/>
        <v>1000</v>
      </c>
      <c r="L112" s="2" t="str">
        <f t="shared" si="4"/>
        <v>JP</v>
      </c>
    </row>
    <row r="113">
      <c r="A113" s="2" t="str">
        <f>IFERROR(__xludf.DUMMYFUNCTION("""COMPUTED_VALUE"""),"examples/random/sparse_30000_10_2")</f>
        <v>examples/random/sparse_30000_10_2</v>
      </c>
      <c r="B113" s="4">
        <f>IFERROR(__xludf.DUMMYFUNCTION("""COMPUTED_VALUE"""),330000.0)</f>
        <v>330000</v>
      </c>
      <c r="C113" s="4">
        <f>IFERROR(__xludf.DUMMYFUNCTION("""COMPUTED_VALUE"""),60.0)</f>
        <v>60</v>
      </c>
      <c r="D113" s="4">
        <f>IFERROR(__xludf.DUMMYFUNCTION("""COMPUTED_VALUE"""),60000.0)</f>
        <v>60000</v>
      </c>
      <c r="E113" s="4">
        <f>IFERROR(__xludf.DUMMYFUNCTION("""COMPUTED_VALUE"""),60000.0)</f>
        <v>60000</v>
      </c>
      <c r="F113" s="4">
        <f>IFERROR(__xludf.DUMMYFUNCTION("""COMPUTED_VALUE"""),60000.0)</f>
        <v>60000</v>
      </c>
      <c r="G113" s="4">
        <f>IFERROR(__xludf.DUMMYFUNCTION("""COMPUTED_VALUE"""),357.0)</f>
        <v>357</v>
      </c>
      <c r="H113" s="4">
        <f>IFERROR(__xludf.DUMMYFUNCTION("""COMPUTED_VALUE"""),111.0)</f>
        <v>111</v>
      </c>
      <c r="I113" s="2" t="str">
        <f>IFERROR(__xludf.DUMMYFUNCTION("""COMPUTED_VALUE"""),"random")</f>
        <v>random</v>
      </c>
      <c r="J113" s="2">
        <f t="shared" si="2"/>
        <v>17</v>
      </c>
      <c r="K113" s="2">
        <f t="shared" si="3"/>
        <v>500000</v>
      </c>
      <c r="L113" s="2" t="str">
        <f t="shared" si="4"/>
        <v>P</v>
      </c>
    </row>
    <row r="114">
      <c r="A114" s="2" t="str">
        <f>IFERROR(__xludf.DUMMYFUNCTION("""COMPUTED_VALUE"""),"examples/random/dense_3000_3_8")</f>
        <v>examples/random/dense_3000_3_8</v>
      </c>
      <c r="B114" s="4">
        <f>IFERROR(__xludf.DUMMYFUNCTION("""COMPUTED_VALUE"""),273541.0)</f>
        <v>273541</v>
      </c>
      <c r="C114" s="4">
        <f>IFERROR(__xludf.DUMMYFUNCTION("""COMPUTED_VALUE"""),60.0)</f>
        <v>60</v>
      </c>
      <c r="D114" s="4">
        <f>IFERROR(__xludf.DUMMYFUNCTION("""COMPUTED_VALUE"""),60000.0)</f>
        <v>60000</v>
      </c>
      <c r="E114" s="4">
        <f>IFERROR(__xludf.DUMMYFUNCTION("""COMPUTED_VALUE"""),12796.0)</f>
        <v>12796</v>
      </c>
      <c r="F114" s="4">
        <f>IFERROR(__xludf.DUMMYFUNCTION("""COMPUTED_VALUE"""),36640.0)</f>
        <v>36640</v>
      </c>
      <c r="G114" s="4">
        <f>IFERROR(__xludf.DUMMYFUNCTION("""COMPUTED_VALUE"""),96.0)</f>
        <v>96</v>
      </c>
      <c r="H114" s="4">
        <f>IFERROR(__xludf.DUMMYFUNCTION("""COMPUTED_VALUE"""),58.0)</f>
        <v>58</v>
      </c>
      <c r="I114" s="2" t="str">
        <f>IFERROR(__xludf.DUMMYFUNCTION("""COMPUTED_VALUE"""),"random")</f>
        <v>random</v>
      </c>
      <c r="J114" s="2">
        <f t="shared" si="2"/>
        <v>16</v>
      </c>
      <c r="K114" s="2">
        <f t="shared" si="3"/>
        <v>200000</v>
      </c>
      <c r="L114" s="2" t="str">
        <f t="shared" si="4"/>
        <v>P</v>
      </c>
    </row>
    <row r="115">
      <c r="A115" s="2" t="str">
        <f>IFERROR(__xludf.DUMMYFUNCTION("""COMPUTED_VALUE"""),"examples/random/sparse_10000_1_4")</f>
        <v>examples/random/sparse_10000_1_4</v>
      </c>
      <c r="B115" s="4">
        <f>IFERROR(__xludf.DUMMYFUNCTION("""COMPUTED_VALUE"""),20000.0)</f>
        <v>20000</v>
      </c>
      <c r="C115" s="4">
        <f>IFERROR(__xludf.DUMMYFUNCTION("""COMPUTED_VALUE"""),60.0)</f>
        <v>60</v>
      </c>
      <c r="D115" s="4">
        <f>IFERROR(__xludf.DUMMYFUNCTION("""COMPUTED_VALUE"""),18104.0)</f>
        <v>18104</v>
      </c>
      <c r="E115" s="4">
        <f>IFERROR(__xludf.DUMMYFUNCTION("""COMPUTED_VALUE"""),22.0)</f>
        <v>22</v>
      </c>
      <c r="F115" s="4">
        <f>IFERROR(__xludf.DUMMYFUNCTION("""COMPUTED_VALUE"""),20.0)</f>
        <v>20</v>
      </c>
      <c r="G115" s="4">
        <f>IFERROR(__xludf.DUMMYFUNCTION("""COMPUTED_VALUE"""),121.0)</f>
        <v>121</v>
      </c>
      <c r="H115" s="4">
        <f>IFERROR(__xludf.DUMMYFUNCTION("""COMPUTED_VALUE"""),15.0)</f>
        <v>15</v>
      </c>
      <c r="I115" s="2" t="str">
        <f>IFERROR(__xludf.DUMMYFUNCTION("""COMPUTED_VALUE"""),"random")</f>
        <v>random</v>
      </c>
      <c r="J115" s="2">
        <f t="shared" si="2"/>
        <v>13</v>
      </c>
      <c r="K115" s="2">
        <f t="shared" si="3"/>
        <v>20000</v>
      </c>
      <c r="L115" s="2" t="str">
        <f t="shared" si="4"/>
        <v>P</v>
      </c>
    </row>
    <row r="116">
      <c r="A116" s="2" t="str">
        <f>IFERROR(__xludf.DUMMYFUNCTION("""COMPUTED_VALUE"""),"examples/random/sparse_1000_10_8")</f>
        <v>examples/random/sparse_1000_10_8</v>
      </c>
      <c r="B116" s="4">
        <f>IFERROR(__xludf.DUMMYFUNCTION("""COMPUTED_VALUE"""),11000.0)</f>
        <v>11000</v>
      </c>
      <c r="C116" s="4">
        <f>IFERROR(__xludf.DUMMYFUNCTION("""COMPUTED_VALUE"""),60.0)</f>
        <v>60</v>
      </c>
      <c r="D116" s="4">
        <f>IFERROR(__xludf.DUMMYFUNCTION("""COMPUTED_VALUE"""),50167.0)</f>
        <v>50167</v>
      </c>
      <c r="E116" s="4">
        <f>IFERROR(__xludf.DUMMYFUNCTION("""COMPUTED_VALUE"""),149.0)</f>
        <v>149</v>
      </c>
      <c r="F116" s="4">
        <f>IFERROR(__xludf.DUMMYFUNCTION("""COMPUTED_VALUE"""),208.0)</f>
        <v>208</v>
      </c>
      <c r="G116" s="4">
        <f>IFERROR(__xludf.DUMMYFUNCTION("""COMPUTED_VALUE"""),9.0)</f>
        <v>9</v>
      </c>
      <c r="H116" s="4">
        <f>IFERROR(__xludf.DUMMYFUNCTION("""COMPUTED_VALUE"""),3.0)</f>
        <v>3</v>
      </c>
      <c r="I116" s="2" t="str">
        <f>IFERROR(__xludf.DUMMYFUNCTION("""COMPUTED_VALUE"""),"random")</f>
        <v>random</v>
      </c>
      <c r="J116" s="2">
        <f t="shared" si="2"/>
        <v>12</v>
      </c>
      <c r="K116" s="2">
        <f t="shared" si="3"/>
        <v>10000</v>
      </c>
      <c r="L116" s="2" t="str">
        <f t="shared" si="4"/>
        <v>P</v>
      </c>
    </row>
    <row r="117">
      <c r="A117" s="2" t="str">
        <f>IFERROR(__xludf.DUMMYFUNCTION("""COMPUTED_VALUE"""),"examples/random/sparse_100000_2_10")</f>
        <v>examples/random/sparse_100000_2_10</v>
      </c>
      <c r="B117" s="4">
        <f>IFERROR(__xludf.DUMMYFUNCTION("""COMPUTED_VALUE"""),300000.0)</f>
        <v>300000</v>
      </c>
      <c r="C117" s="4">
        <f>IFERROR(__xludf.DUMMYFUNCTION("""COMPUTED_VALUE"""),60.0)</f>
        <v>60</v>
      </c>
      <c r="D117" s="4">
        <f>IFERROR(__xludf.DUMMYFUNCTION("""COMPUTED_VALUE"""),60000.0)</f>
        <v>60000</v>
      </c>
      <c r="E117" s="4">
        <f>IFERROR(__xludf.DUMMYFUNCTION("""COMPUTED_VALUE"""),60000.0)</f>
        <v>60000</v>
      </c>
      <c r="F117" s="4">
        <f>IFERROR(__xludf.DUMMYFUNCTION("""COMPUTED_VALUE"""),60000.0)</f>
        <v>60000</v>
      </c>
      <c r="G117" s="4">
        <f>IFERROR(__xludf.DUMMYFUNCTION("""COMPUTED_VALUE"""),3313.0)</f>
        <v>3313</v>
      </c>
      <c r="H117" s="4">
        <f>IFERROR(__xludf.DUMMYFUNCTION("""COMPUTED_VALUE"""),298.0)</f>
        <v>298</v>
      </c>
      <c r="I117" s="2" t="str">
        <f>IFERROR(__xludf.DUMMYFUNCTION("""COMPUTED_VALUE"""),"random")</f>
        <v>random</v>
      </c>
      <c r="J117" s="2">
        <f t="shared" si="2"/>
        <v>16</v>
      </c>
      <c r="K117" s="2">
        <f t="shared" si="3"/>
        <v>200000</v>
      </c>
      <c r="L117" s="2" t="str">
        <f t="shared" si="4"/>
        <v>P</v>
      </c>
    </row>
    <row r="118">
      <c r="A118" s="2" t="str">
        <f>IFERROR(__xludf.DUMMYFUNCTION("""COMPUTED_VALUE"""),"examples/random/sparse_1000_3_3")</f>
        <v>examples/random/sparse_1000_3_3</v>
      </c>
      <c r="B118" s="4">
        <f>IFERROR(__xludf.DUMMYFUNCTION("""COMPUTED_VALUE"""),4000.0)</f>
        <v>4000</v>
      </c>
      <c r="C118" s="4">
        <f>IFERROR(__xludf.DUMMYFUNCTION("""COMPUTED_VALUE"""),60.0)</f>
        <v>60</v>
      </c>
      <c r="D118" s="4">
        <f>IFERROR(__xludf.DUMMYFUNCTION("""COMPUTED_VALUE"""),13177.0)</f>
        <v>13177</v>
      </c>
      <c r="E118" s="4">
        <f>IFERROR(__xludf.DUMMYFUNCTION("""COMPUTED_VALUE"""),30.0)</f>
        <v>30</v>
      </c>
      <c r="F118" s="4">
        <f>IFERROR(__xludf.DUMMYFUNCTION("""COMPUTED_VALUE"""),52.0)</f>
        <v>52</v>
      </c>
      <c r="G118" s="4">
        <f>IFERROR(__xludf.DUMMYFUNCTION("""COMPUTED_VALUE"""),8.0)</f>
        <v>8</v>
      </c>
      <c r="H118" s="4">
        <f>IFERROR(__xludf.DUMMYFUNCTION("""COMPUTED_VALUE"""),2.0)</f>
        <v>2</v>
      </c>
      <c r="I118" s="2" t="str">
        <f>IFERROR(__xludf.DUMMYFUNCTION("""COMPUTED_VALUE"""),"random")</f>
        <v>random</v>
      </c>
      <c r="J118" s="2">
        <f t="shared" si="2"/>
        <v>11</v>
      </c>
      <c r="K118" s="2">
        <f t="shared" si="3"/>
        <v>5000</v>
      </c>
      <c r="L118" s="2" t="str">
        <f t="shared" si="4"/>
        <v>P</v>
      </c>
    </row>
    <row r="119">
      <c r="A119" s="2" t="str">
        <f>IFERROR(__xludf.DUMMYFUNCTION("""COMPUTED_VALUE"""),"examples/random/sparse_100000_1_9")</f>
        <v>examples/random/sparse_100000_1_9</v>
      </c>
      <c r="B119" s="4">
        <f>IFERROR(__xludf.DUMMYFUNCTION("""COMPUTED_VALUE"""),200000.0)</f>
        <v>200000</v>
      </c>
      <c r="C119" s="4">
        <f>IFERROR(__xludf.DUMMYFUNCTION("""COMPUTED_VALUE"""),60.0)</f>
        <v>60</v>
      </c>
      <c r="D119" s="4">
        <f>IFERROR(__xludf.DUMMYFUNCTION("""COMPUTED_VALUE"""),60000.0)</f>
        <v>60000</v>
      </c>
      <c r="E119" s="4">
        <f>IFERROR(__xludf.DUMMYFUNCTION("""COMPUTED_VALUE"""),306.0)</f>
        <v>306</v>
      </c>
      <c r="F119" s="4">
        <f>IFERROR(__xludf.DUMMYFUNCTION("""COMPUTED_VALUE"""),285.0)</f>
        <v>285</v>
      </c>
      <c r="G119" s="4">
        <f>IFERROR(__xludf.DUMMYFUNCTION("""COMPUTED_VALUE"""),1506.0)</f>
        <v>1506</v>
      </c>
      <c r="H119" s="4">
        <f>IFERROR(__xludf.DUMMYFUNCTION("""COMPUTED_VALUE"""),201.0)</f>
        <v>201</v>
      </c>
      <c r="I119" s="2" t="str">
        <f>IFERROR(__xludf.DUMMYFUNCTION("""COMPUTED_VALUE"""),"random")</f>
        <v>random</v>
      </c>
      <c r="J119" s="2">
        <f t="shared" si="2"/>
        <v>16</v>
      </c>
      <c r="K119" s="2">
        <f t="shared" si="3"/>
        <v>200000</v>
      </c>
      <c r="L119" s="2" t="str">
        <f t="shared" si="4"/>
        <v>P</v>
      </c>
    </row>
    <row r="120">
      <c r="A120" s="2" t="str">
        <f>IFERROR(__xludf.DUMMYFUNCTION("""COMPUTED_VALUE"""),"examples/random/sparse_100000_3_7")</f>
        <v>examples/random/sparse_100000_3_7</v>
      </c>
      <c r="B120" s="4">
        <f>IFERROR(__xludf.DUMMYFUNCTION("""COMPUTED_VALUE"""),400000.0)</f>
        <v>400000</v>
      </c>
      <c r="C120" s="4">
        <f>IFERROR(__xludf.DUMMYFUNCTION("""COMPUTED_VALUE"""),60.0)</f>
        <v>60</v>
      </c>
      <c r="D120" s="4">
        <f>IFERROR(__xludf.DUMMYFUNCTION("""COMPUTED_VALUE"""),60000.0)</f>
        <v>60000</v>
      </c>
      <c r="E120" s="4">
        <f>IFERROR(__xludf.DUMMYFUNCTION("""COMPUTED_VALUE"""),60000.0)</f>
        <v>60000</v>
      </c>
      <c r="F120" s="4">
        <f>IFERROR(__xludf.DUMMYFUNCTION("""COMPUTED_VALUE"""),60000.0)</f>
        <v>60000</v>
      </c>
      <c r="G120" s="4">
        <f>IFERROR(__xludf.DUMMYFUNCTION("""COMPUTED_VALUE"""),1295.0)</f>
        <v>1295</v>
      </c>
      <c r="H120" s="4">
        <f>IFERROR(__xludf.DUMMYFUNCTION("""COMPUTED_VALUE"""),292.0)</f>
        <v>292</v>
      </c>
      <c r="I120" s="2" t="str">
        <f>IFERROR(__xludf.DUMMYFUNCTION("""COMPUTED_VALUE"""),"random")</f>
        <v>random</v>
      </c>
      <c r="J120" s="2">
        <f t="shared" si="2"/>
        <v>17</v>
      </c>
      <c r="K120" s="2">
        <f t="shared" si="3"/>
        <v>500000</v>
      </c>
      <c r="L120" s="2" t="str">
        <f t="shared" si="4"/>
        <v>P</v>
      </c>
    </row>
    <row r="121">
      <c r="A121" s="2" t="str">
        <f>IFERROR(__xludf.DUMMYFUNCTION("""COMPUTED_VALUE"""),"examples/random/sparse_3000_2_2")</f>
        <v>examples/random/sparse_3000_2_2</v>
      </c>
      <c r="B121" s="4">
        <f>IFERROR(__xludf.DUMMYFUNCTION("""COMPUTED_VALUE"""),9000.0)</f>
        <v>9000</v>
      </c>
      <c r="C121" s="4">
        <f>IFERROR(__xludf.DUMMYFUNCTION("""COMPUTED_VALUE"""),60.0)</f>
        <v>60</v>
      </c>
      <c r="D121" s="4">
        <f>IFERROR(__xludf.DUMMYFUNCTION("""COMPUTED_VALUE"""),60000.0)</f>
        <v>60000</v>
      </c>
      <c r="E121" s="4">
        <f>IFERROR(__xludf.DUMMYFUNCTION("""COMPUTED_VALUE"""),117.0)</f>
        <v>117</v>
      </c>
      <c r="F121" s="4">
        <f>IFERROR(__xludf.DUMMYFUNCTION("""COMPUTED_VALUE"""),223.0)</f>
        <v>223</v>
      </c>
      <c r="G121" s="4">
        <f>IFERROR(__xludf.DUMMYFUNCTION("""COMPUTED_VALUE"""),25.0)</f>
        <v>25</v>
      </c>
      <c r="H121" s="4">
        <f>IFERROR(__xludf.DUMMYFUNCTION("""COMPUTED_VALUE"""),4.0)</f>
        <v>4</v>
      </c>
      <c r="I121" s="2" t="str">
        <f>IFERROR(__xludf.DUMMYFUNCTION("""COMPUTED_VALUE"""),"random")</f>
        <v>random</v>
      </c>
      <c r="J121" s="2">
        <f t="shared" si="2"/>
        <v>12</v>
      </c>
      <c r="K121" s="2">
        <f t="shared" si="3"/>
        <v>10000</v>
      </c>
      <c r="L121" s="2" t="str">
        <f t="shared" si="4"/>
        <v>P</v>
      </c>
    </row>
    <row r="122">
      <c r="A122" s="2" t="str">
        <f>IFERROR(__xludf.DUMMYFUNCTION("""COMPUTED_VALUE"""),"examples/random/sparse_3000_3_8")</f>
        <v>examples/random/sparse_3000_3_8</v>
      </c>
      <c r="B122" s="4">
        <f>IFERROR(__xludf.DUMMYFUNCTION("""COMPUTED_VALUE"""),12000.0)</f>
        <v>12000</v>
      </c>
      <c r="C122" s="4">
        <f>IFERROR(__xludf.DUMMYFUNCTION("""COMPUTED_VALUE"""),60.0)</f>
        <v>60</v>
      </c>
      <c r="D122" s="4">
        <f>IFERROR(__xludf.DUMMYFUNCTION("""COMPUTED_VALUE"""),60000.0)</f>
        <v>60000</v>
      </c>
      <c r="E122" s="4">
        <f>IFERROR(__xludf.DUMMYFUNCTION("""COMPUTED_VALUE"""),288.0)</f>
        <v>288</v>
      </c>
      <c r="F122" s="4">
        <f>IFERROR(__xludf.DUMMYFUNCTION("""COMPUTED_VALUE"""),518.0)</f>
        <v>518</v>
      </c>
      <c r="G122" s="4">
        <f>IFERROR(__xludf.DUMMYFUNCTION("""COMPUTED_VALUE"""),38.0)</f>
        <v>38</v>
      </c>
      <c r="H122" s="4">
        <f>IFERROR(__xludf.DUMMYFUNCTION("""COMPUTED_VALUE"""),7.0)</f>
        <v>7</v>
      </c>
      <c r="I122" s="2" t="str">
        <f>IFERROR(__xludf.DUMMYFUNCTION("""COMPUTED_VALUE"""),"random")</f>
        <v>random</v>
      </c>
      <c r="J122" s="2">
        <f t="shared" si="2"/>
        <v>12</v>
      </c>
      <c r="K122" s="2">
        <f t="shared" si="3"/>
        <v>10000</v>
      </c>
      <c r="L122" s="2" t="str">
        <f t="shared" si="4"/>
        <v>P</v>
      </c>
    </row>
    <row r="123">
      <c r="A123" s="2" t="str">
        <f>IFERROR(__xludf.DUMMYFUNCTION("""COMPUTED_VALUE"""),"examples/random/sparse_3000_1_6")</f>
        <v>examples/random/sparse_3000_1_6</v>
      </c>
      <c r="B123" s="4">
        <f>IFERROR(__xludf.DUMMYFUNCTION("""COMPUTED_VALUE"""),6000.0)</f>
        <v>6000</v>
      </c>
      <c r="C123" s="4">
        <f>IFERROR(__xludf.DUMMYFUNCTION("""COMPUTED_VALUE"""),60.0)</f>
        <v>60</v>
      </c>
      <c r="D123" s="4">
        <f>IFERROR(__xludf.DUMMYFUNCTION("""COMPUTED_VALUE"""),1559.0)</f>
        <v>1559</v>
      </c>
      <c r="E123" s="4">
        <f>IFERROR(__xludf.DUMMYFUNCTION("""COMPUTED_VALUE"""),6.0)</f>
        <v>6</v>
      </c>
      <c r="F123" s="4">
        <f>IFERROR(__xludf.DUMMYFUNCTION("""COMPUTED_VALUE"""),5.0)</f>
        <v>5</v>
      </c>
      <c r="G123" s="4">
        <f>IFERROR(__xludf.DUMMYFUNCTION("""COMPUTED_VALUE"""),27.0)</f>
        <v>27</v>
      </c>
      <c r="H123" s="4">
        <f>IFERROR(__xludf.DUMMYFUNCTION("""COMPUTED_VALUE"""),4.0)</f>
        <v>4</v>
      </c>
      <c r="I123" s="2" t="str">
        <f>IFERROR(__xludf.DUMMYFUNCTION("""COMPUTED_VALUE"""),"random")</f>
        <v>random</v>
      </c>
      <c r="J123" s="2">
        <f t="shared" si="2"/>
        <v>11</v>
      </c>
      <c r="K123" s="2">
        <f t="shared" si="3"/>
        <v>5000</v>
      </c>
      <c r="L123" s="2" t="str">
        <f t="shared" si="4"/>
        <v>P</v>
      </c>
    </row>
    <row r="124">
      <c r="A124" s="2" t="str">
        <f>IFERROR(__xludf.DUMMYFUNCTION("""COMPUTED_VALUE"""),"examples/random/dense_300_3_5")</f>
        <v>examples/random/dense_300_3_5</v>
      </c>
      <c r="B124" s="4">
        <f>IFERROR(__xludf.DUMMYFUNCTION("""COMPUTED_VALUE"""),3000.0)</f>
        <v>3000</v>
      </c>
      <c r="C124" s="4">
        <f>IFERROR(__xludf.DUMMYFUNCTION("""COMPUTED_VALUE"""),60.0)</f>
        <v>60</v>
      </c>
      <c r="D124" s="4">
        <f>IFERROR(__xludf.DUMMYFUNCTION("""COMPUTED_VALUE"""),1252.0)</f>
        <v>1252</v>
      </c>
      <c r="E124" s="4">
        <f>IFERROR(__xludf.DUMMYFUNCTION("""COMPUTED_VALUE"""),12.0)</f>
        <v>12</v>
      </c>
      <c r="F124" s="4">
        <f>IFERROR(__xludf.DUMMYFUNCTION("""COMPUTED_VALUE"""),16.0)</f>
        <v>16</v>
      </c>
      <c r="G124" s="4">
        <f>IFERROR(__xludf.DUMMYFUNCTION("""COMPUTED_VALUE"""),2.0)</f>
        <v>2</v>
      </c>
      <c r="H124" s="4">
        <f>IFERROR(__xludf.DUMMYFUNCTION("""COMPUTED_VALUE"""),0.0)</f>
        <v>0</v>
      </c>
      <c r="I124" s="2" t="str">
        <f>IFERROR(__xludf.DUMMYFUNCTION("""COMPUTED_VALUE"""),"random")</f>
        <v>random</v>
      </c>
      <c r="J124" s="2">
        <f t="shared" si="2"/>
        <v>10</v>
      </c>
      <c r="K124" s="2">
        <f t="shared" si="3"/>
        <v>2000</v>
      </c>
      <c r="L124" s="2" t="str">
        <f t="shared" si="4"/>
        <v>P</v>
      </c>
    </row>
    <row r="125">
      <c r="A125" s="2" t="str">
        <f>IFERROR(__xludf.DUMMYFUNCTION("""COMPUTED_VALUE"""),"examples/random/sparse_1000_2_9")</f>
        <v>examples/random/sparse_1000_2_9</v>
      </c>
      <c r="B125" s="4">
        <f>IFERROR(__xludf.DUMMYFUNCTION("""COMPUTED_VALUE"""),3000.0)</f>
        <v>3000</v>
      </c>
      <c r="C125" s="4">
        <f>IFERROR(__xludf.DUMMYFUNCTION("""COMPUTED_VALUE"""),60.0)</f>
        <v>60</v>
      </c>
      <c r="D125" s="4">
        <f>IFERROR(__xludf.DUMMYFUNCTION("""COMPUTED_VALUE"""),5067.0)</f>
        <v>5067</v>
      </c>
      <c r="E125" s="4">
        <f>IFERROR(__xludf.DUMMYFUNCTION("""COMPUTED_VALUE"""),13.0)</f>
        <v>13</v>
      </c>
      <c r="F125" s="4">
        <f>IFERROR(__xludf.DUMMYFUNCTION("""COMPUTED_VALUE"""),24.0)</f>
        <v>24</v>
      </c>
      <c r="G125" s="4">
        <f>IFERROR(__xludf.DUMMYFUNCTION("""COMPUTED_VALUE"""),8.0)</f>
        <v>8</v>
      </c>
      <c r="H125" s="4">
        <f>IFERROR(__xludf.DUMMYFUNCTION("""COMPUTED_VALUE"""),1.0)</f>
        <v>1</v>
      </c>
      <c r="I125" s="2" t="str">
        <f>IFERROR(__xludf.DUMMYFUNCTION("""COMPUTED_VALUE"""),"random")</f>
        <v>random</v>
      </c>
      <c r="J125" s="2">
        <f t="shared" si="2"/>
        <v>10</v>
      </c>
      <c r="K125" s="2">
        <f t="shared" si="3"/>
        <v>2000</v>
      </c>
      <c r="L125" s="2" t="str">
        <f t="shared" si="4"/>
        <v>P</v>
      </c>
    </row>
    <row r="126">
      <c r="A126" s="2" t="str">
        <f>IFERROR(__xludf.DUMMYFUNCTION("""COMPUTED_VALUE"""),"examples/random/dense_10000_1_9")</f>
        <v>examples/random/dense_10000_1_9</v>
      </c>
      <c r="B126" s="4">
        <f>IFERROR(__xludf.DUMMYFUNCTION("""COMPUTED_VALUE"""),1010275.0)</f>
        <v>1010275</v>
      </c>
      <c r="C126" s="4">
        <f>IFERROR(__xludf.DUMMYFUNCTION("""COMPUTED_VALUE"""),60.0)</f>
        <v>60</v>
      </c>
      <c r="D126" s="4">
        <f>IFERROR(__xludf.DUMMYFUNCTION("""COMPUTED_VALUE"""),60000.0)</f>
        <v>60000</v>
      </c>
      <c r="E126" s="4">
        <f>IFERROR(__xludf.DUMMYFUNCTION("""COMPUTED_VALUE"""),60000.0)</f>
        <v>60000</v>
      </c>
      <c r="F126" s="4">
        <f>IFERROR(__xludf.DUMMYFUNCTION("""COMPUTED_VALUE"""),60000.0)</f>
        <v>60000</v>
      </c>
      <c r="G126" s="4">
        <f>IFERROR(__xludf.DUMMYFUNCTION("""COMPUTED_VALUE"""),451.0)</f>
        <v>451</v>
      </c>
      <c r="H126" s="4">
        <f>IFERROR(__xludf.DUMMYFUNCTION("""COMPUTED_VALUE"""),252.0)</f>
        <v>252</v>
      </c>
      <c r="I126" s="2" t="str">
        <f>IFERROR(__xludf.DUMMYFUNCTION("""COMPUTED_VALUE"""),"random")</f>
        <v>random</v>
      </c>
      <c r="J126" s="2">
        <f t="shared" si="2"/>
        <v>18</v>
      </c>
      <c r="K126" s="2">
        <f t="shared" si="3"/>
        <v>1000000</v>
      </c>
      <c r="L126" s="2" t="str">
        <f t="shared" si="4"/>
        <v>P</v>
      </c>
    </row>
    <row r="127">
      <c r="A127" s="2" t="str">
        <f>IFERROR(__xludf.DUMMYFUNCTION("""COMPUTED_VALUE"""),"examples/random/dense_100_3_8")</f>
        <v>examples/random/dense_100_3_8</v>
      </c>
      <c r="B127" s="4">
        <f>IFERROR(__xludf.DUMMYFUNCTION("""COMPUTED_VALUE"""),396.0)</f>
        <v>396</v>
      </c>
      <c r="C127" s="4">
        <f>IFERROR(__xludf.DUMMYFUNCTION("""COMPUTED_VALUE"""),60.0)</f>
        <v>60</v>
      </c>
      <c r="D127" s="4">
        <f>IFERROR(__xludf.DUMMYFUNCTION("""COMPUTED_VALUE"""),12.0)</f>
        <v>12</v>
      </c>
      <c r="E127" s="4">
        <f>IFERROR(__xludf.DUMMYFUNCTION("""COMPUTED_VALUE"""),0.0)</f>
        <v>0</v>
      </c>
      <c r="F127" s="4">
        <f>IFERROR(__xludf.DUMMYFUNCTION("""COMPUTED_VALUE"""),0.0)</f>
        <v>0</v>
      </c>
      <c r="G127" s="4">
        <f>IFERROR(__xludf.DUMMYFUNCTION("""COMPUTED_VALUE"""),0.0)</f>
        <v>0</v>
      </c>
      <c r="H127" s="4">
        <f>IFERROR(__xludf.DUMMYFUNCTION("""COMPUTED_VALUE"""),0.0)</f>
        <v>0</v>
      </c>
      <c r="I127" s="2" t="str">
        <f>IFERROR(__xludf.DUMMYFUNCTION("""COMPUTED_VALUE"""),"random")</f>
        <v>random</v>
      </c>
      <c r="J127" s="2">
        <f t="shared" si="2"/>
        <v>8</v>
      </c>
      <c r="K127" s="2">
        <f t="shared" si="3"/>
        <v>500</v>
      </c>
      <c r="L127" s="2">
        <f t="shared" si="4"/>
        <v>0</v>
      </c>
    </row>
    <row r="128">
      <c r="A128" s="2" t="str">
        <f>IFERROR(__xludf.DUMMYFUNCTION("""COMPUTED_VALUE"""),"examples/random/dense_10000_3_7")</f>
        <v>examples/random/dense_10000_3_7</v>
      </c>
      <c r="B128" s="4">
        <f>IFERROR(__xludf.DUMMYFUNCTION("""COMPUTED_VALUE"""),3009086.0)</f>
        <v>3009086</v>
      </c>
      <c r="C128" s="4">
        <f>IFERROR(__xludf.DUMMYFUNCTION("""COMPUTED_VALUE"""),60.0)</f>
        <v>60</v>
      </c>
      <c r="D128" s="4">
        <f>IFERROR(__xludf.DUMMYFUNCTION("""COMPUTED_VALUE"""),60000.0)</f>
        <v>60000</v>
      </c>
      <c r="E128" s="4">
        <f>IFERROR(__xludf.DUMMYFUNCTION("""COMPUTED_VALUE"""),60000.0)</f>
        <v>60000</v>
      </c>
      <c r="F128" s="4">
        <f>IFERROR(__xludf.DUMMYFUNCTION("""COMPUTED_VALUE"""),60000.0)</f>
        <v>60000</v>
      </c>
      <c r="G128" s="4">
        <f>IFERROR(__xludf.DUMMYFUNCTION("""COMPUTED_VALUE"""),946.0)</f>
        <v>946</v>
      </c>
      <c r="H128" s="4">
        <f>IFERROR(__xludf.DUMMYFUNCTION("""COMPUTED_VALUE"""),671.0)</f>
        <v>671</v>
      </c>
      <c r="I128" s="2" t="str">
        <f>IFERROR(__xludf.DUMMYFUNCTION("""COMPUTED_VALUE"""),"random")</f>
        <v>random</v>
      </c>
      <c r="J128" s="2">
        <f t="shared" si="2"/>
        <v>19</v>
      </c>
      <c r="K128" s="2">
        <f t="shared" si="3"/>
        <v>2000000</v>
      </c>
      <c r="L128" s="2" t="str">
        <f t="shared" si="4"/>
        <v>P</v>
      </c>
    </row>
    <row r="129">
      <c r="A129" s="2" t="str">
        <f>IFERROR(__xludf.DUMMYFUNCTION("""COMPUTED_VALUE"""),"examples/random/sparse_300_1_2")</f>
        <v>examples/random/sparse_300_1_2</v>
      </c>
      <c r="B129" s="4">
        <f>IFERROR(__xludf.DUMMYFUNCTION("""COMPUTED_VALUE"""),600.0)</f>
        <v>600</v>
      </c>
      <c r="C129" s="4">
        <f>IFERROR(__xludf.DUMMYFUNCTION("""COMPUTED_VALUE"""),60.0)</f>
        <v>60</v>
      </c>
      <c r="D129" s="4">
        <f>IFERROR(__xludf.DUMMYFUNCTION("""COMPUTED_VALUE"""),14.0)</f>
        <v>14</v>
      </c>
      <c r="E129" s="4">
        <f>IFERROR(__xludf.DUMMYFUNCTION("""COMPUTED_VALUE"""),0.0)</f>
        <v>0</v>
      </c>
      <c r="F129" s="4">
        <f>IFERROR(__xludf.DUMMYFUNCTION("""COMPUTED_VALUE"""),0.0)</f>
        <v>0</v>
      </c>
      <c r="G129" s="4">
        <f>IFERROR(__xludf.DUMMYFUNCTION("""COMPUTED_VALUE"""),2.0)</f>
        <v>2</v>
      </c>
      <c r="H129" s="4">
        <f>IFERROR(__xludf.DUMMYFUNCTION("""COMPUTED_VALUE"""),0.0)</f>
        <v>0</v>
      </c>
      <c r="I129" s="2" t="str">
        <f>IFERROR(__xludf.DUMMYFUNCTION("""COMPUTED_VALUE"""),"random")</f>
        <v>random</v>
      </c>
      <c r="J129" s="2">
        <f t="shared" si="2"/>
        <v>8</v>
      </c>
      <c r="K129" s="2">
        <f t="shared" si="3"/>
        <v>500</v>
      </c>
      <c r="L129" s="2" t="str">
        <f t="shared" si="4"/>
        <v>BP</v>
      </c>
    </row>
    <row r="130">
      <c r="A130" s="2" t="str">
        <f>IFERROR(__xludf.DUMMYFUNCTION("""COMPUTED_VALUE"""),"examples/random/sparse_30000_2_5")</f>
        <v>examples/random/sparse_30000_2_5</v>
      </c>
      <c r="B130" s="4">
        <f>IFERROR(__xludf.DUMMYFUNCTION("""COMPUTED_VALUE"""),90000.0)</f>
        <v>90000</v>
      </c>
      <c r="C130" s="4">
        <f>IFERROR(__xludf.DUMMYFUNCTION("""COMPUTED_VALUE"""),60.0)</f>
        <v>60</v>
      </c>
      <c r="D130" s="4">
        <f>IFERROR(__xludf.DUMMYFUNCTION("""COMPUTED_VALUE"""),60000.0)</f>
        <v>60000</v>
      </c>
      <c r="E130" s="4">
        <f>IFERROR(__xludf.DUMMYFUNCTION("""COMPUTED_VALUE"""),13653.0)</f>
        <v>13653</v>
      </c>
      <c r="F130" s="4">
        <f>IFERROR(__xludf.DUMMYFUNCTION("""COMPUTED_VALUE"""),24857.0)</f>
        <v>24857</v>
      </c>
      <c r="G130" s="4">
        <f>IFERROR(__xludf.DUMMYFUNCTION("""COMPUTED_VALUE"""),288.0)</f>
        <v>288</v>
      </c>
      <c r="H130" s="4">
        <f>IFERROR(__xludf.DUMMYFUNCTION("""COMPUTED_VALUE"""),61.0)</f>
        <v>61</v>
      </c>
      <c r="I130" s="2" t="str">
        <f>IFERROR(__xludf.DUMMYFUNCTION("""COMPUTED_VALUE"""),"random")</f>
        <v>random</v>
      </c>
      <c r="J130" s="2">
        <f t="shared" si="2"/>
        <v>15</v>
      </c>
      <c r="K130" s="2">
        <f t="shared" si="3"/>
        <v>100000</v>
      </c>
      <c r="L130" s="2" t="str">
        <f t="shared" si="4"/>
        <v>P</v>
      </c>
    </row>
    <row r="131">
      <c r="A131" s="2" t="str">
        <f>IFERROR(__xludf.DUMMYFUNCTION("""COMPUTED_VALUE"""),"examples/random/dense_3000_2_3")</f>
        <v>examples/random/dense_3000_2_3</v>
      </c>
      <c r="B131" s="4">
        <f>IFERROR(__xludf.DUMMYFUNCTION("""COMPUTED_VALUE"""),182528.0)</f>
        <v>182528</v>
      </c>
      <c r="C131" s="4">
        <f>IFERROR(__xludf.DUMMYFUNCTION("""COMPUTED_VALUE"""),60.0)</f>
        <v>60</v>
      </c>
      <c r="D131" s="4">
        <f>IFERROR(__xludf.DUMMYFUNCTION("""COMPUTED_VALUE"""),60000.0)</f>
        <v>60000</v>
      </c>
      <c r="E131" s="4">
        <f>IFERROR(__xludf.DUMMYFUNCTION("""COMPUTED_VALUE"""),8416.0)</f>
        <v>8416</v>
      </c>
      <c r="F131" s="4">
        <f>IFERROR(__xludf.DUMMYFUNCTION("""COMPUTED_VALUE"""),18335.0)</f>
        <v>18335</v>
      </c>
      <c r="G131" s="4">
        <f>IFERROR(__xludf.DUMMYFUNCTION("""COMPUTED_VALUE"""),69.0)</f>
        <v>69</v>
      </c>
      <c r="H131" s="4">
        <f>IFERROR(__xludf.DUMMYFUNCTION("""COMPUTED_VALUE"""),39.0)</f>
        <v>39</v>
      </c>
      <c r="I131" s="2" t="str">
        <f>IFERROR(__xludf.DUMMYFUNCTION("""COMPUTED_VALUE"""),"random")</f>
        <v>random</v>
      </c>
      <c r="J131" s="2">
        <f t="shared" si="2"/>
        <v>16</v>
      </c>
      <c r="K131" s="2">
        <f t="shared" si="3"/>
        <v>200000</v>
      </c>
      <c r="L131" s="2" t="str">
        <f t="shared" si="4"/>
        <v>P</v>
      </c>
    </row>
    <row r="132">
      <c r="A132" s="2" t="str">
        <f>IFERROR(__xludf.DUMMYFUNCTION("""COMPUTED_VALUE"""),"examples/random/dense_1000_3_2")</f>
        <v>examples/random/dense_1000_3_2</v>
      </c>
      <c r="B132" s="4">
        <f>IFERROR(__xludf.DUMMYFUNCTION("""COMPUTED_VALUE"""),30846.0)</f>
        <v>30846</v>
      </c>
      <c r="C132" s="4">
        <f>IFERROR(__xludf.DUMMYFUNCTION("""COMPUTED_VALUE"""),60.0)</f>
        <v>60</v>
      </c>
      <c r="D132" s="4">
        <f>IFERROR(__xludf.DUMMYFUNCTION("""COMPUTED_VALUE"""),60000.0)</f>
        <v>60000</v>
      </c>
      <c r="E132" s="4">
        <f>IFERROR(__xludf.DUMMYFUNCTION("""COMPUTED_VALUE"""),438.0)</f>
        <v>438</v>
      </c>
      <c r="F132" s="4">
        <f>IFERROR(__xludf.DUMMYFUNCTION("""COMPUTED_VALUE"""),671.0)</f>
        <v>671</v>
      </c>
      <c r="G132" s="4">
        <f>IFERROR(__xludf.DUMMYFUNCTION("""COMPUTED_VALUE"""),14.0)</f>
        <v>14</v>
      </c>
      <c r="H132" s="4">
        <f>IFERROR(__xludf.DUMMYFUNCTION("""COMPUTED_VALUE"""),6.0)</f>
        <v>6</v>
      </c>
      <c r="I132" s="2" t="str">
        <f>IFERROR(__xludf.DUMMYFUNCTION("""COMPUTED_VALUE"""),"random")</f>
        <v>random</v>
      </c>
      <c r="J132" s="2">
        <f t="shared" si="2"/>
        <v>13</v>
      </c>
      <c r="K132" s="2">
        <f t="shared" si="3"/>
        <v>20000</v>
      </c>
      <c r="L132" s="2" t="str">
        <f t="shared" si="4"/>
        <v>P</v>
      </c>
    </row>
    <row r="133">
      <c r="A133" s="2" t="str">
        <f>IFERROR(__xludf.DUMMYFUNCTION("""COMPUTED_VALUE"""),"examples/random/sparse_10000_2_1")</f>
        <v>examples/random/sparse_10000_2_1</v>
      </c>
      <c r="B133" s="4">
        <f>IFERROR(__xludf.DUMMYFUNCTION("""COMPUTED_VALUE"""),30000.0)</f>
        <v>30000</v>
      </c>
      <c r="C133" s="4">
        <f>IFERROR(__xludf.DUMMYFUNCTION("""COMPUTED_VALUE"""),60.0)</f>
        <v>60</v>
      </c>
      <c r="D133" s="4">
        <f>IFERROR(__xludf.DUMMYFUNCTION("""COMPUTED_VALUE"""),60000.0)</f>
        <v>60000</v>
      </c>
      <c r="E133" s="4">
        <f>IFERROR(__xludf.DUMMYFUNCTION("""COMPUTED_VALUE"""),1455.0)</f>
        <v>1455</v>
      </c>
      <c r="F133" s="4">
        <f>IFERROR(__xludf.DUMMYFUNCTION("""COMPUTED_VALUE"""),2567.0)</f>
        <v>2567</v>
      </c>
      <c r="G133" s="4">
        <f>IFERROR(__xludf.DUMMYFUNCTION("""COMPUTED_VALUE"""),91.0)</f>
        <v>91</v>
      </c>
      <c r="H133" s="4">
        <f>IFERROR(__xludf.DUMMYFUNCTION("""COMPUTED_VALUE"""),19.0)</f>
        <v>19</v>
      </c>
      <c r="I133" s="2" t="str">
        <f>IFERROR(__xludf.DUMMYFUNCTION("""COMPUTED_VALUE"""),"random")</f>
        <v>random</v>
      </c>
      <c r="J133" s="2">
        <f t="shared" si="2"/>
        <v>13</v>
      </c>
      <c r="K133" s="2">
        <f t="shared" si="3"/>
        <v>20000</v>
      </c>
      <c r="L133" s="2" t="str">
        <f t="shared" si="4"/>
        <v>P</v>
      </c>
    </row>
    <row r="134">
      <c r="A134" s="2" t="str">
        <f>IFERROR(__xludf.DUMMYFUNCTION("""COMPUTED_VALUE"""),"examples/random/sparse_100_3_1")</f>
        <v>examples/random/sparse_100_3_1</v>
      </c>
      <c r="B134" s="4">
        <f>IFERROR(__xludf.DUMMYFUNCTION("""COMPUTED_VALUE"""),400.0)</f>
        <v>400</v>
      </c>
      <c r="C134" s="4">
        <f>IFERROR(__xludf.DUMMYFUNCTION("""COMPUTED_VALUE"""),60.0)</f>
        <v>60</v>
      </c>
      <c r="D134" s="4">
        <f>IFERROR(__xludf.DUMMYFUNCTION("""COMPUTED_VALUE"""),15.0)</f>
        <v>15</v>
      </c>
      <c r="E134" s="4">
        <f>IFERROR(__xludf.DUMMYFUNCTION("""COMPUTED_VALUE"""),0.0)</f>
        <v>0</v>
      </c>
      <c r="F134" s="4">
        <f>IFERROR(__xludf.DUMMYFUNCTION("""COMPUTED_VALUE"""),0.0)</f>
        <v>0</v>
      </c>
      <c r="G134" s="4">
        <f>IFERROR(__xludf.DUMMYFUNCTION("""COMPUTED_VALUE"""),0.0)</f>
        <v>0</v>
      </c>
      <c r="H134" s="4">
        <f>IFERROR(__xludf.DUMMYFUNCTION("""COMPUTED_VALUE"""),0.0)</f>
        <v>0</v>
      </c>
      <c r="I134" s="2" t="str">
        <f>IFERROR(__xludf.DUMMYFUNCTION("""COMPUTED_VALUE"""),"random")</f>
        <v>random</v>
      </c>
      <c r="J134" s="2">
        <f t="shared" si="2"/>
        <v>8</v>
      </c>
      <c r="K134" s="2">
        <f t="shared" si="3"/>
        <v>500</v>
      </c>
      <c r="L134" s="2">
        <f t="shared" si="4"/>
        <v>0</v>
      </c>
    </row>
    <row r="135">
      <c r="A135" s="2" t="str">
        <f>IFERROR(__xludf.DUMMYFUNCTION("""COMPUTED_VALUE"""),"examples/random/sparse_10000_1_5")</f>
        <v>examples/random/sparse_10000_1_5</v>
      </c>
      <c r="B135" s="4">
        <f>IFERROR(__xludf.DUMMYFUNCTION("""COMPUTED_VALUE"""),20000.0)</f>
        <v>20000</v>
      </c>
      <c r="C135" s="4">
        <f>IFERROR(__xludf.DUMMYFUNCTION("""COMPUTED_VALUE"""),60.0)</f>
        <v>60</v>
      </c>
      <c r="D135" s="4">
        <f>IFERROR(__xludf.DUMMYFUNCTION("""COMPUTED_VALUE"""),17866.0)</f>
        <v>17866</v>
      </c>
      <c r="E135" s="4">
        <f>IFERROR(__xludf.DUMMYFUNCTION("""COMPUTED_VALUE"""),23.0)</f>
        <v>23</v>
      </c>
      <c r="F135" s="4">
        <f>IFERROR(__xludf.DUMMYFUNCTION("""COMPUTED_VALUE"""),20.0)</f>
        <v>20</v>
      </c>
      <c r="G135" s="4">
        <f>IFERROR(__xludf.DUMMYFUNCTION("""COMPUTED_VALUE"""),119.0)</f>
        <v>119</v>
      </c>
      <c r="H135" s="4">
        <f>IFERROR(__xludf.DUMMYFUNCTION("""COMPUTED_VALUE"""),15.0)</f>
        <v>15</v>
      </c>
      <c r="I135" s="2" t="str">
        <f>IFERROR(__xludf.DUMMYFUNCTION("""COMPUTED_VALUE"""),"random")</f>
        <v>random</v>
      </c>
      <c r="J135" s="2">
        <f t="shared" si="2"/>
        <v>13</v>
      </c>
      <c r="K135" s="2">
        <f t="shared" si="3"/>
        <v>20000</v>
      </c>
      <c r="L135" s="2" t="str">
        <f t="shared" si="4"/>
        <v>P</v>
      </c>
    </row>
    <row r="136">
      <c r="A136" s="2" t="str">
        <f>IFERROR(__xludf.DUMMYFUNCTION("""COMPUTED_VALUE"""),"examples/random/sparse_300_2_6")</f>
        <v>examples/random/sparse_300_2_6</v>
      </c>
      <c r="B136" s="4">
        <f>IFERROR(__xludf.DUMMYFUNCTION("""COMPUTED_VALUE"""),900.0)</f>
        <v>900</v>
      </c>
      <c r="C136" s="4">
        <f>IFERROR(__xludf.DUMMYFUNCTION("""COMPUTED_VALUE"""),60.0)</f>
        <v>60</v>
      </c>
      <c r="D136" s="4">
        <f>IFERROR(__xludf.DUMMYFUNCTION("""COMPUTED_VALUE"""),122.0)</f>
        <v>122</v>
      </c>
      <c r="E136" s="4">
        <f>IFERROR(__xludf.DUMMYFUNCTION("""COMPUTED_VALUE"""),1.0)</f>
        <v>1</v>
      </c>
      <c r="F136" s="4">
        <f>IFERROR(__xludf.DUMMYFUNCTION("""COMPUTED_VALUE"""),2.0)</f>
        <v>2</v>
      </c>
      <c r="G136" s="4">
        <f>IFERROR(__xludf.DUMMYFUNCTION("""COMPUTED_VALUE"""),2.0)</f>
        <v>2</v>
      </c>
      <c r="H136" s="4">
        <f>IFERROR(__xludf.DUMMYFUNCTION("""COMPUTED_VALUE"""),0.0)</f>
        <v>0</v>
      </c>
      <c r="I136" s="2" t="str">
        <f>IFERROR(__xludf.DUMMYFUNCTION("""COMPUTED_VALUE"""),"random")</f>
        <v>random</v>
      </c>
      <c r="J136" s="2">
        <f t="shared" si="2"/>
        <v>9</v>
      </c>
      <c r="K136" s="2">
        <f t="shared" si="3"/>
        <v>1000</v>
      </c>
      <c r="L136" s="2" t="str">
        <f t="shared" si="4"/>
        <v>P</v>
      </c>
    </row>
    <row r="137">
      <c r="A137" s="2" t="str">
        <f>IFERROR(__xludf.DUMMYFUNCTION("""COMPUTED_VALUE"""),"examples/random/dense_1000_2_8")</f>
        <v>examples/random/dense_1000_2_8</v>
      </c>
      <c r="B137" s="4">
        <f>IFERROR(__xludf.DUMMYFUNCTION("""COMPUTED_VALUE"""),20879.0)</f>
        <v>20879</v>
      </c>
      <c r="C137" s="4">
        <f>IFERROR(__xludf.DUMMYFUNCTION("""COMPUTED_VALUE"""),60.0)</f>
        <v>60</v>
      </c>
      <c r="D137" s="4">
        <f>IFERROR(__xludf.DUMMYFUNCTION("""COMPUTED_VALUE"""),60000.0)</f>
        <v>60000</v>
      </c>
      <c r="E137" s="4">
        <f>IFERROR(__xludf.DUMMYFUNCTION("""COMPUTED_VALUE"""),305.0)</f>
        <v>305</v>
      </c>
      <c r="F137" s="4">
        <f>IFERROR(__xludf.DUMMYFUNCTION("""COMPUTED_VALUE"""),419.0)</f>
        <v>419</v>
      </c>
      <c r="G137" s="4">
        <f>IFERROR(__xludf.DUMMYFUNCTION("""COMPUTED_VALUE"""),11.0)</f>
        <v>11</v>
      </c>
      <c r="H137" s="4">
        <f>IFERROR(__xludf.DUMMYFUNCTION("""COMPUTED_VALUE"""),4.0)</f>
        <v>4</v>
      </c>
      <c r="I137" s="2" t="str">
        <f>IFERROR(__xludf.DUMMYFUNCTION("""COMPUTED_VALUE"""),"random")</f>
        <v>random</v>
      </c>
      <c r="J137" s="2">
        <f t="shared" si="2"/>
        <v>13</v>
      </c>
      <c r="K137" s="2">
        <f t="shared" si="3"/>
        <v>20000</v>
      </c>
      <c r="L137" s="2" t="str">
        <f t="shared" si="4"/>
        <v>P</v>
      </c>
    </row>
    <row r="138">
      <c r="A138" s="2" t="str">
        <f>IFERROR(__xludf.DUMMYFUNCTION("""COMPUTED_VALUE"""),"examples/random/sparse_30000_1_1")</f>
        <v>examples/random/sparse_30000_1_1</v>
      </c>
      <c r="B138" s="4">
        <f>IFERROR(__xludf.DUMMYFUNCTION("""COMPUTED_VALUE"""),60000.0)</f>
        <v>60000</v>
      </c>
      <c r="C138" s="4">
        <f>IFERROR(__xludf.DUMMYFUNCTION("""COMPUTED_VALUE"""),60.0)</f>
        <v>60</v>
      </c>
      <c r="D138" s="4">
        <f>IFERROR(__xludf.DUMMYFUNCTION("""COMPUTED_VALUE"""),60000.0)</f>
        <v>60000</v>
      </c>
      <c r="E138" s="4">
        <f>IFERROR(__xludf.DUMMYFUNCTION("""COMPUTED_VALUE"""),77.0)</f>
        <v>77</v>
      </c>
      <c r="F138" s="4">
        <f>IFERROR(__xludf.DUMMYFUNCTION("""COMPUTED_VALUE"""),70.0)</f>
        <v>70</v>
      </c>
      <c r="G138" s="4">
        <f>IFERROR(__xludf.DUMMYFUNCTION("""COMPUTED_VALUE"""),410.0)</f>
        <v>410</v>
      </c>
      <c r="H138" s="4">
        <f>IFERROR(__xludf.DUMMYFUNCTION("""COMPUTED_VALUE"""),53.0)</f>
        <v>53</v>
      </c>
      <c r="I138" s="2" t="str">
        <f>IFERROR(__xludf.DUMMYFUNCTION("""COMPUTED_VALUE"""),"random")</f>
        <v>random</v>
      </c>
      <c r="J138" s="2">
        <f t="shared" si="2"/>
        <v>14</v>
      </c>
      <c r="K138" s="2">
        <f t="shared" si="3"/>
        <v>50000</v>
      </c>
      <c r="L138" s="2" t="str">
        <f t="shared" si="4"/>
        <v>P</v>
      </c>
    </row>
    <row r="139">
      <c r="A139" s="2" t="str">
        <f>IFERROR(__xludf.DUMMYFUNCTION("""COMPUTED_VALUE"""),"examples/random/dense_3000_1_7")</f>
        <v>examples/random/dense_3000_1_7</v>
      </c>
      <c r="B139" s="4">
        <f>IFERROR(__xludf.DUMMYFUNCTION("""COMPUTED_VALUE"""),92955.0)</f>
        <v>92955</v>
      </c>
      <c r="C139" s="4">
        <f>IFERROR(__xludf.DUMMYFUNCTION("""COMPUTED_VALUE"""),60.0)</f>
        <v>60</v>
      </c>
      <c r="D139" s="4">
        <f>IFERROR(__xludf.DUMMYFUNCTION("""COMPUTED_VALUE"""),60000.0)</f>
        <v>60000</v>
      </c>
      <c r="E139" s="4">
        <f>IFERROR(__xludf.DUMMYFUNCTION("""COMPUTED_VALUE"""),4171.0)</f>
        <v>4171</v>
      </c>
      <c r="F139" s="4">
        <f>IFERROR(__xludf.DUMMYFUNCTION("""COMPUTED_VALUE"""),6820.0)</f>
        <v>6820</v>
      </c>
      <c r="G139" s="4">
        <f>IFERROR(__xludf.DUMMYFUNCTION("""COMPUTED_VALUE"""),43.0)</f>
        <v>43</v>
      </c>
      <c r="H139" s="4">
        <f>IFERROR(__xludf.DUMMYFUNCTION("""COMPUTED_VALUE"""),20.0)</f>
        <v>20</v>
      </c>
      <c r="I139" s="2" t="str">
        <f>IFERROR(__xludf.DUMMYFUNCTION("""COMPUTED_VALUE"""),"random")</f>
        <v>random</v>
      </c>
      <c r="J139" s="2">
        <f t="shared" si="2"/>
        <v>15</v>
      </c>
      <c r="K139" s="2">
        <f t="shared" si="3"/>
        <v>100000</v>
      </c>
      <c r="L139" s="2" t="str">
        <f t="shared" si="4"/>
        <v>P</v>
      </c>
    </row>
    <row r="140">
      <c r="A140" s="2" t="str">
        <f>IFERROR(__xludf.DUMMYFUNCTION("""COMPUTED_VALUE"""),"examples/random/sparse_10000_10_4")</f>
        <v>examples/random/sparse_10000_10_4</v>
      </c>
      <c r="B140" s="4">
        <f>IFERROR(__xludf.DUMMYFUNCTION("""COMPUTED_VALUE"""),110000.0)</f>
        <v>110000</v>
      </c>
      <c r="C140" s="4">
        <f>IFERROR(__xludf.DUMMYFUNCTION("""COMPUTED_VALUE"""),60.0)</f>
        <v>60</v>
      </c>
      <c r="D140" s="4">
        <f>IFERROR(__xludf.DUMMYFUNCTION("""COMPUTED_VALUE"""),60000.0)</f>
        <v>60000</v>
      </c>
      <c r="E140" s="4">
        <f>IFERROR(__xludf.DUMMYFUNCTION("""COMPUTED_VALUE"""),15993.0)</f>
        <v>15993</v>
      </c>
      <c r="F140" s="4">
        <f>IFERROR(__xludf.DUMMYFUNCTION("""COMPUTED_VALUE"""),23321.0)</f>
        <v>23321</v>
      </c>
      <c r="G140" s="4">
        <f>IFERROR(__xludf.DUMMYFUNCTION("""COMPUTED_VALUE"""),104.0)</f>
        <v>104</v>
      </c>
      <c r="H140" s="4">
        <f>IFERROR(__xludf.DUMMYFUNCTION("""COMPUTED_VALUE"""),35.0)</f>
        <v>35</v>
      </c>
      <c r="I140" s="2" t="str">
        <f>IFERROR(__xludf.DUMMYFUNCTION("""COMPUTED_VALUE"""),"random")</f>
        <v>random</v>
      </c>
      <c r="J140" s="2">
        <f t="shared" si="2"/>
        <v>15</v>
      </c>
      <c r="K140" s="2">
        <f t="shared" si="3"/>
        <v>100000</v>
      </c>
      <c r="L140" s="2" t="str">
        <f t="shared" si="4"/>
        <v>P</v>
      </c>
    </row>
    <row r="141">
      <c r="A141" s="2" t="str">
        <f>IFERROR(__xludf.DUMMYFUNCTION("""COMPUTED_VALUE"""),"examples/random/dense_3000_3_9")</f>
        <v>examples/random/dense_3000_3_9</v>
      </c>
      <c r="B141" s="4">
        <f>IFERROR(__xludf.DUMMYFUNCTION("""COMPUTED_VALUE"""),272480.0)</f>
        <v>272480</v>
      </c>
      <c r="C141" s="4">
        <f>IFERROR(__xludf.DUMMYFUNCTION("""COMPUTED_VALUE"""),60.0)</f>
        <v>60</v>
      </c>
      <c r="D141" s="4">
        <f>IFERROR(__xludf.DUMMYFUNCTION("""COMPUTED_VALUE"""),60000.0)</f>
        <v>60000</v>
      </c>
      <c r="E141" s="4">
        <f>IFERROR(__xludf.DUMMYFUNCTION("""COMPUTED_VALUE"""),13253.0)</f>
        <v>13253</v>
      </c>
      <c r="F141" s="4">
        <f>IFERROR(__xludf.DUMMYFUNCTION("""COMPUTED_VALUE"""),35989.0)</f>
        <v>35989</v>
      </c>
      <c r="G141" s="4">
        <f>IFERROR(__xludf.DUMMYFUNCTION("""COMPUTED_VALUE"""),96.0)</f>
        <v>96</v>
      </c>
      <c r="H141" s="4">
        <f>IFERROR(__xludf.DUMMYFUNCTION("""COMPUTED_VALUE"""),59.0)</f>
        <v>59</v>
      </c>
      <c r="I141" s="2" t="str">
        <f>IFERROR(__xludf.DUMMYFUNCTION("""COMPUTED_VALUE"""),"random")</f>
        <v>random</v>
      </c>
      <c r="J141" s="2">
        <f t="shared" si="2"/>
        <v>16</v>
      </c>
      <c r="K141" s="2">
        <f t="shared" si="3"/>
        <v>200000</v>
      </c>
      <c r="L141" s="2" t="str">
        <f t="shared" si="4"/>
        <v>P</v>
      </c>
    </row>
    <row r="142">
      <c r="A142" s="2" t="str">
        <f>IFERROR(__xludf.DUMMYFUNCTION("""COMPUTED_VALUE"""),"examples/random/sparse_30000_10_3")</f>
        <v>examples/random/sparse_30000_10_3</v>
      </c>
      <c r="B142" s="4">
        <f>IFERROR(__xludf.DUMMYFUNCTION("""COMPUTED_VALUE"""),330000.0)</f>
        <v>330000</v>
      </c>
      <c r="C142" s="4">
        <f>IFERROR(__xludf.DUMMYFUNCTION("""COMPUTED_VALUE"""),60.0)</f>
        <v>60</v>
      </c>
      <c r="D142" s="4">
        <f>IFERROR(__xludf.DUMMYFUNCTION("""COMPUTED_VALUE"""),60000.0)</f>
        <v>60000</v>
      </c>
      <c r="E142" s="4">
        <f>IFERROR(__xludf.DUMMYFUNCTION("""COMPUTED_VALUE"""),60000.0)</f>
        <v>60000</v>
      </c>
      <c r="F142" s="4">
        <f>IFERROR(__xludf.DUMMYFUNCTION("""COMPUTED_VALUE"""),60000.0)</f>
        <v>60000</v>
      </c>
      <c r="G142" s="4">
        <f>IFERROR(__xludf.DUMMYFUNCTION("""COMPUTED_VALUE"""),475.0)</f>
        <v>475</v>
      </c>
      <c r="H142" s="4">
        <f>IFERROR(__xludf.DUMMYFUNCTION("""COMPUTED_VALUE"""),150.0)</f>
        <v>150</v>
      </c>
      <c r="I142" s="2" t="str">
        <f>IFERROR(__xludf.DUMMYFUNCTION("""COMPUTED_VALUE"""),"random")</f>
        <v>random</v>
      </c>
      <c r="J142" s="2">
        <f t="shared" si="2"/>
        <v>17</v>
      </c>
      <c r="K142" s="2">
        <f t="shared" si="3"/>
        <v>500000</v>
      </c>
      <c r="L142" s="2" t="str">
        <f t="shared" si="4"/>
        <v>P</v>
      </c>
    </row>
    <row r="143">
      <c r="A143" s="2" t="str">
        <f>IFERROR(__xludf.DUMMYFUNCTION("""COMPUTED_VALUE"""),"examples/random/sparse_100000_1_8")</f>
        <v>examples/random/sparse_100000_1_8</v>
      </c>
      <c r="B143" s="4">
        <f>IFERROR(__xludf.DUMMYFUNCTION("""COMPUTED_VALUE"""),200000.0)</f>
        <v>200000</v>
      </c>
      <c r="C143" s="4">
        <f>IFERROR(__xludf.DUMMYFUNCTION("""COMPUTED_VALUE"""),60.0)</f>
        <v>60</v>
      </c>
      <c r="D143" s="4">
        <f>IFERROR(__xludf.DUMMYFUNCTION("""COMPUTED_VALUE"""),60000.0)</f>
        <v>60000</v>
      </c>
      <c r="E143" s="4">
        <f>IFERROR(__xludf.DUMMYFUNCTION("""COMPUTED_VALUE"""),311.0)</f>
        <v>311</v>
      </c>
      <c r="F143" s="4">
        <f>IFERROR(__xludf.DUMMYFUNCTION("""COMPUTED_VALUE"""),290.0)</f>
        <v>290</v>
      </c>
      <c r="G143" s="4">
        <f>IFERROR(__xludf.DUMMYFUNCTION("""COMPUTED_VALUE"""),1542.0)</f>
        <v>1542</v>
      </c>
      <c r="H143" s="4">
        <f>IFERROR(__xludf.DUMMYFUNCTION("""COMPUTED_VALUE"""),202.0)</f>
        <v>202</v>
      </c>
      <c r="I143" s="2" t="str">
        <f>IFERROR(__xludf.DUMMYFUNCTION("""COMPUTED_VALUE"""),"random")</f>
        <v>random</v>
      </c>
      <c r="J143" s="2">
        <f t="shared" si="2"/>
        <v>16</v>
      </c>
      <c r="K143" s="2">
        <f t="shared" si="3"/>
        <v>200000</v>
      </c>
      <c r="L143" s="2" t="str">
        <f t="shared" si="4"/>
        <v>P</v>
      </c>
    </row>
    <row r="144">
      <c r="A144" s="2" t="str">
        <f>IFERROR(__xludf.DUMMYFUNCTION("""COMPUTED_VALUE"""),"examples/random/sparse_1000_3_2")</f>
        <v>examples/random/sparse_1000_3_2</v>
      </c>
      <c r="B144" s="4">
        <f>IFERROR(__xludf.DUMMYFUNCTION("""COMPUTED_VALUE"""),4000.0)</f>
        <v>4000</v>
      </c>
      <c r="C144" s="4">
        <f>IFERROR(__xludf.DUMMYFUNCTION("""COMPUTED_VALUE"""),60.0)</f>
        <v>60</v>
      </c>
      <c r="D144" s="4">
        <f>IFERROR(__xludf.DUMMYFUNCTION("""COMPUTED_VALUE"""),13485.0)</f>
        <v>13485</v>
      </c>
      <c r="E144" s="4">
        <f>IFERROR(__xludf.DUMMYFUNCTION("""COMPUTED_VALUE"""),30.0)</f>
        <v>30</v>
      </c>
      <c r="F144" s="4">
        <f>IFERROR(__xludf.DUMMYFUNCTION("""COMPUTED_VALUE"""),51.0)</f>
        <v>51</v>
      </c>
      <c r="G144" s="4">
        <f>IFERROR(__xludf.DUMMYFUNCTION("""COMPUTED_VALUE"""),8.0)</f>
        <v>8</v>
      </c>
      <c r="H144" s="4">
        <f>IFERROR(__xludf.DUMMYFUNCTION("""COMPUTED_VALUE"""),1.0)</f>
        <v>1</v>
      </c>
      <c r="I144" s="2" t="str">
        <f>IFERROR(__xludf.DUMMYFUNCTION("""COMPUTED_VALUE"""),"random")</f>
        <v>random</v>
      </c>
      <c r="J144" s="2">
        <f t="shared" si="2"/>
        <v>11</v>
      </c>
      <c r="K144" s="2">
        <f t="shared" si="3"/>
        <v>5000</v>
      </c>
      <c r="L144" s="2" t="str">
        <f t="shared" si="4"/>
        <v>P</v>
      </c>
    </row>
    <row r="145">
      <c r="A145" s="2" t="str">
        <f>IFERROR(__xludf.DUMMYFUNCTION("""COMPUTED_VALUE"""),"examples/random/sparse_3000_2_3")</f>
        <v>examples/random/sparse_3000_2_3</v>
      </c>
      <c r="B145" s="4">
        <f>IFERROR(__xludf.DUMMYFUNCTION("""COMPUTED_VALUE"""),9000.0)</f>
        <v>9000</v>
      </c>
      <c r="C145" s="4">
        <f>IFERROR(__xludf.DUMMYFUNCTION("""COMPUTED_VALUE"""),60.0)</f>
        <v>60</v>
      </c>
      <c r="D145" s="4">
        <f>IFERROR(__xludf.DUMMYFUNCTION("""COMPUTED_VALUE"""),60000.0)</f>
        <v>60000</v>
      </c>
      <c r="E145" s="4">
        <f>IFERROR(__xludf.DUMMYFUNCTION("""COMPUTED_VALUE"""),126.0)</f>
        <v>126</v>
      </c>
      <c r="F145" s="4">
        <f>IFERROR(__xludf.DUMMYFUNCTION("""COMPUTED_VALUE"""),215.0)</f>
        <v>215</v>
      </c>
      <c r="G145" s="4">
        <f>IFERROR(__xludf.DUMMYFUNCTION("""COMPUTED_VALUE"""),23.0)</f>
        <v>23</v>
      </c>
      <c r="H145" s="4">
        <f>IFERROR(__xludf.DUMMYFUNCTION("""COMPUTED_VALUE"""),4.0)</f>
        <v>4</v>
      </c>
      <c r="I145" s="2" t="str">
        <f>IFERROR(__xludf.DUMMYFUNCTION("""COMPUTED_VALUE"""),"random")</f>
        <v>random</v>
      </c>
      <c r="J145" s="2">
        <f t="shared" si="2"/>
        <v>12</v>
      </c>
      <c r="K145" s="2">
        <f t="shared" si="3"/>
        <v>10000</v>
      </c>
      <c r="L145" s="2" t="str">
        <f t="shared" si="4"/>
        <v>P</v>
      </c>
    </row>
    <row r="146">
      <c r="A146" s="2" t="str">
        <f>IFERROR(__xludf.DUMMYFUNCTION("""COMPUTED_VALUE"""),"examples/random/sparse_100000_3_6")</f>
        <v>examples/random/sparse_100000_3_6</v>
      </c>
      <c r="B146" s="4">
        <f>IFERROR(__xludf.DUMMYFUNCTION("""COMPUTED_VALUE"""),400000.0)</f>
        <v>400000</v>
      </c>
      <c r="C146" s="4">
        <f>IFERROR(__xludf.DUMMYFUNCTION("""COMPUTED_VALUE"""),60.0)</f>
        <v>60</v>
      </c>
      <c r="D146" s="4">
        <f>IFERROR(__xludf.DUMMYFUNCTION("""COMPUTED_VALUE"""),60000.0)</f>
        <v>60000</v>
      </c>
      <c r="E146" s="4">
        <f>IFERROR(__xludf.DUMMYFUNCTION("""COMPUTED_VALUE"""),60000.0)</f>
        <v>60000</v>
      </c>
      <c r="F146" s="4">
        <f>IFERROR(__xludf.DUMMYFUNCTION("""COMPUTED_VALUE"""),60000.0)</f>
        <v>60000</v>
      </c>
      <c r="G146" s="4">
        <f>IFERROR(__xludf.DUMMYFUNCTION("""COMPUTED_VALUE"""),1420.0)</f>
        <v>1420</v>
      </c>
      <c r="H146" s="4">
        <f>IFERROR(__xludf.DUMMYFUNCTION("""COMPUTED_VALUE"""),324.0)</f>
        <v>324</v>
      </c>
      <c r="I146" s="2" t="str">
        <f>IFERROR(__xludf.DUMMYFUNCTION("""COMPUTED_VALUE"""),"random")</f>
        <v>random</v>
      </c>
      <c r="J146" s="2">
        <f t="shared" si="2"/>
        <v>17</v>
      </c>
      <c r="K146" s="2">
        <f t="shared" si="3"/>
        <v>500000</v>
      </c>
      <c r="L146" s="2" t="str">
        <f t="shared" si="4"/>
        <v>P</v>
      </c>
    </row>
    <row r="147">
      <c r="A147" s="2" t="str">
        <f>IFERROR(__xludf.DUMMYFUNCTION("""COMPUTED_VALUE"""),"examples/random/sparse_1000_10_9")</f>
        <v>examples/random/sparse_1000_10_9</v>
      </c>
      <c r="B147" s="4">
        <f>IFERROR(__xludf.DUMMYFUNCTION("""COMPUTED_VALUE"""),11000.0)</f>
        <v>11000</v>
      </c>
      <c r="C147" s="4">
        <f>IFERROR(__xludf.DUMMYFUNCTION("""COMPUTED_VALUE"""),60.0)</f>
        <v>60</v>
      </c>
      <c r="D147" s="4">
        <f>IFERROR(__xludf.DUMMYFUNCTION("""COMPUTED_VALUE"""),50046.0)</f>
        <v>50046</v>
      </c>
      <c r="E147" s="4">
        <f>IFERROR(__xludf.DUMMYFUNCTION("""COMPUTED_VALUE"""),150.0)</f>
        <v>150</v>
      </c>
      <c r="F147" s="4">
        <f>IFERROR(__xludf.DUMMYFUNCTION("""COMPUTED_VALUE"""),207.0)</f>
        <v>207</v>
      </c>
      <c r="G147" s="4">
        <f>IFERROR(__xludf.DUMMYFUNCTION("""COMPUTED_VALUE"""),9.0)</f>
        <v>9</v>
      </c>
      <c r="H147" s="4">
        <f>IFERROR(__xludf.DUMMYFUNCTION("""COMPUTED_VALUE"""),3.0)</f>
        <v>3</v>
      </c>
      <c r="I147" s="2" t="str">
        <f>IFERROR(__xludf.DUMMYFUNCTION("""COMPUTED_VALUE"""),"random")</f>
        <v>random</v>
      </c>
      <c r="J147" s="2">
        <f t="shared" si="2"/>
        <v>12</v>
      </c>
      <c r="K147" s="2">
        <f t="shared" si="3"/>
        <v>10000</v>
      </c>
      <c r="L147" s="2" t="str">
        <f t="shared" si="4"/>
        <v>P</v>
      </c>
    </row>
    <row r="148">
      <c r="A148" s="2" t="str">
        <f>IFERROR(__xludf.DUMMYFUNCTION("""COMPUTED_VALUE"""),"examples/random/sparse_1000_3_10")</f>
        <v>examples/random/sparse_1000_3_10</v>
      </c>
      <c r="B148" s="4">
        <f>IFERROR(__xludf.DUMMYFUNCTION("""COMPUTED_VALUE"""),4000.0)</f>
        <v>4000</v>
      </c>
      <c r="C148" s="4">
        <f>IFERROR(__xludf.DUMMYFUNCTION("""COMPUTED_VALUE"""),60.0)</f>
        <v>60</v>
      </c>
      <c r="D148" s="4">
        <f>IFERROR(__xludf.DUMMYFUNCTION("""COMPUTED_VALUE"""),12849.0)</f>
        <v>12849</v>
      </c>
      <c r="E148" s="4">
        <f>IFERROR(__xludf.DUMMYFUNCTION("""COMPUTED_VALUE"""),29.0)</f>
        <v>29</v>
      </c>
      <c r="F148" s="4">
        <f>IFERROR(__xludf.DUMMYFUNCTION("""COMPUTED_VALUE"""),52.0)</f>
        <v>52</v>
      </c>
      <c r="G148" s="4">
        <f>IFERROR(__xludf.DUMMYFUNCTION("""COMPUTED_VALUE"""),8.0)</f>
        <v>8</v>
      </c>
      <c r="H148" s="4">
        <f>IFERROR(__xludf.DUMMYFUNCTION("""COMPUTED_VALUE"""),2.0)</f>
        <v>2</v>
      </c>
      <c r="I148" s="2" t="str">
        <f>IFERROR(__xludf.DUMMYFUNCTION("""COMPUTED_VALUE"""),"random")</f>
        <v>random</v>
      </c>
      <c r="J148" s="2">
        <f t="shared" si="2"/>
        <v>11</v>
      </c>
      <c r="K148" s="2">
        <f t="shared" si="3"/>
        <v>5000</v>
      </c>
      <c r="L148" s="2" t="str">
        <f t="shared" si="4"/>
        <v>P</v>
      </c>
    </row>
    <row r="149">
      <c r="A149" s="2" t="str">
        <f>IFERROR(__xludf.DUMMYFUNCTION("""COMPUTED_VALUE"""),"examples/random/dense_10000_1_8")</f>
        <v>examples/random/dense_10000_1_8</v>
      </c>
      <c r="B149" s="4">
        <f>IFERROR(__xludf.DUMMYFUNCTION("""COMPUTED_VALUE"""),1010423.0)</f>
        <v>1010423</v>
      </c>
      <c r="C149" s="4">
        <f>IFERROR(__xludf.DUMMYFUNCTION("""COMPUTED_VALUE"""),60.0)</f>
        <v>60</v>
      </c>
      <c r="D149" s="4">
        <f>IFERROR(__xludf.DUMMYFUNCTION("""COMPUTED_VALUE"""),60000.0)</f>
        <v>60000</v>
      </c>
      <c r="E149" s="4">
        <f>IFERROR(__xludf.DUMMYFUNCTION("""COMPUTED_VALUE"""),60000.0)</f>
        <v>60000</v>
      </c>
      <c r="F149" s="4">
        <f>IFERROR(__xludf.DUMMYFUNCTION("""COMPUTED_VALUE"""),60000.0)</f>
        <v>60000</v>
      </c>
      <c r="G149" s="4">
        <f>IFERROR(__xludf.DUMMYFUNCTION("""COMPUTED_VALUE"""),360.0)</f>
        <v>360</v>
      </c>
      <c r="H149" s="4">
        <f>IFERROR(__xludf.DUMMYFUNCTION("""COMPUTED_VALUE"""),220.0)</f>
        <v>220</v>
      </c>
      <c r="I149" s="2" t="str">
        <f>IFERROR(__xludf.DUMMYFUNCTION("""COMPUTED_VALUE"""),"random")</f>
        <v>random</v>
      </c>
      <c r="J149" s="2">
        <f t="shared" si="2"/>
        <v>18</v>
      </c>
      <c r="K149" s="2">
        <f t="shared" si="3"/>
        <v>1000000</v>
      </c>
      <c r="L149" s="2" t="str">
        <f t="shared" si="4"/>
        <v>P</v>
      </c>
    </row>
    <row r="150">
      <c r="A150" s="2" t="str">
        <f>IFERROR(__xludf.DUMMYFUNCTION("""COMPUTED_VALUE"""),"examples/random/sparse_30000_1_10")</f>
        <v>examples/random/sparse_30000_1_10</v>
      </c>
      <c r="B150" s="4">
        <f>IFERROR(__xludf.DUMMYFUNCTION("""COMPUTED_VALUE"""),60000.0)</f>
        <v>60000</v>
      </c>
      <c r="C150" s="4">
        <f>IFERROR(__xludf.DUMMYFUNCTION("""COMPUTED_VALUE"""),60.0)</f>
        <v>60</v>
      </c>
      <c r="D150" s="4">
        <f>IFERROR(__xludf.DUMMYFUNCTION("""COMPUTED_VALUE"""),60000.0)</f>
        <v>60000</v>
      </c>
      <c r="E150" s="4">
        <f>IFERROR(__xludf.DUMMYFUNCTION("""COMPUTED_VALUE"""),77.0)</f>
        <v>77</v>
      </c>
      <c r="F150" s="4">
        <f>IFERROR(__xludf.DUMMYFUNCTION("""COMPUTED_VALUE"""),68.0)</f>
        <v>68</v>
      </c>
      <c r="G150" s="4">
        <f>IFERROR(__xludf.DUMMYFUNCTION("""COMPUTED_VALUE"""),385.0)</f>
        <v>385</v>
      </c>
      <c r="H150" s="4">
        <f>IFERROR(__xludf.DUMMYFUNCTION("""COMPUTED_VALUE"""),54.0)</f>
        <v>54</v>
      </c>
      <c r="I150" s="2" t="str">
        <f>IFERROR(__xludf.DUMMYFUNCTION("""COMPUTED_VALUE"""),"random")</f>
        <v>random</v>
      </c>
      <c r="J150" s="2">
        <f t="shared" si="2"/>
        <v>14</v>
      </c>
      <c r="K150" s="2">
        <f t="shared" si="3"/>
        <v>50000</v>
      </c>
      <c r="L150" s="2" t="str">
        <f t="shared" si="4"/>
        <v>P</v>
      </c>
    </row>
    <row r="151">
      <c r="A151" s="2" t="str">
        <f>IFERROR(__xludf.DUMMYFUNCTION("""COMPUTED_VALUE"""),"examples/random/dense_10000_3_6")</f>
        <v>examples/random/dense_10000_3_6</v>
      </c>
      <c r="B151" s="4">
        <f>IFERROR(__xludf.DUMMYFUNCTION("""COMPUTED_VALUE"""),3011659.0)</f>
        <v>3011659</v>
      </c>
      <c r="C151" s="4">
        <f>IFERROR(__xludf.DUMMYFUNCTION("""COMPUTED_VALUE"""),60.0)</f>
        <v>60</v>
      </c>
      <c r="D151" s="4">
        <f>IFERROR(__xludf.DUMMYFUNCTION("""COMPUTED_VALUE"""),60000.0)</f>
        <v>60000</v>
      </c>
      <c r="E151" s="4">
        <f>IFERROR(__xludf.DUMMYFUNCTION("""COMPUTED_VALUE"""),60000.0)</f>
        <v>60000</v>
      </c>
      <c r="F151" s="4">
        <f>IFERROR(__xludf.DUMMYFUNCTION("""COMPUTED_VALUE"""),60000.0)</f>
        <v>60000</v>
      </c>
      <c r="G151" s="4">
        <f>IFERROR(__xludf.DUMMYFUNCTION("""COMPUTED_VALUE"""),979.0)</f>
        <v>979</v>
      </c>
      <c r="H151" s="4">
        <f>IFERROR(__xludf.DUMMYFUNCTION("""COMPUTED_VALUE"""),671.0)</f>
        <v>671</v>
      </c>
      <c r="I151" s="2" t="str">
        <f>IFERROR(__xludf.DUMMYFUNCTION("""COMPUTED_VALUE"""),"random")</f>
        <v>random</v>
      </c>
      <c r="J151" s="2">
        <f t="shared" si="2"/>
        <v>19</v>
      </c>
      <c r="K151" s="2">
        <f t="shared" si="3"/>
        <v>2000000</v>
      </c>
      <c r="L151" s="2" t="str">
        <f t="shared" si="4"/>
        <v>P</v>
      </c>
    </row>
    <row r="152">
      <c r="A152" s="2" t="str">
        <f>IFERROR(__xludf.DUMMYFUNCTION("""COMPUTED_VALUE"""),"examples/random/dense_100_3_9")</f>
        <v>examples/random/dense_100_3_9</v>
      </c>
      <c r="B152" s="4">
        <f>IFERROR(__xludf.DUMMYFUNCTION("""COMPUTED_VALUE"""),399.0)</f>
        <v>399</v>
      </c>
      <c r="C152" s="4">
        <f>IFERROR(__xludf.DUMMYFUNCTION("""COMPUTED_VALUE"""),60.0)</f>
        <v>60</v>
      </c>
      <c r="D152" s="4">
        <f>IFERROR(__xludf.DUMMYFUNCTION("""COMPUTED_VALUE"""),12.0)</f>
        <v>12</v>
      </c>
      <c r="E152" s="4">
        <f>IFERROR(__xludf.DUMMYFUNCTION("""COMPUTED_VALUE"""),0.0)</f>
        <v>0</v>
      </c>
      <c r="F152" s="4">
        <f>IFERROR(__xludf.DUMMYFUNCTION("""COMPUTED_VALUE"""),0.0)</f>
        <v>0</v>
      </c>
      <c r="G152" s="4">
        <f>IFERROR(__xludf.DUMMYFUNCTION("""COMPUTED_VALUE"""),0.0)</f>
        <v>0</v>
      </c>
      <c r="H152" s="4">
        <f>IFERROR(__xludf.DUMMYFUNCTION("""COMPUTED_VALUE"""),0.0)</f>
        <v>0</v>
      </c>
      <c r="I152" s="2" t="str">
        <f>IFERROR(__xludf.DUMMYFUNCTION("""COMPUTED_VALUE"""),"random")</f>
        <v>random</v>
      </c>
      <c r="J152" s="2">
        <f t="shared" si="2"/>
        <v>8</v>
      </c>
      <c r="K152" s="2">
        <f t="shared" si="3"/>
        <v>500</v>
      </c>
      <c r="L152" s="2">
        <f t="shared" si="4"/>
        <v>0</v>
      </c>
    </row>
    <row r="153">
      <c r="A153" s="2" t="str">
        <f>IFERROR(__xludf.DUMMYFUNCTION("""COMPUTED_VALUE"""),"examples/random/dense_10000_2_10")</f>
        <v>examples/random/dense_10000_2_10</v>
      </c>
      <c r="B153" s="4">
        <f>IFERROR(__xludf.DUMMYFUNCTION("""COMPUTED_VALUE"""),2010924.0)</f>
        <v>2010924</v>
      </c>
      <c r="C153" s="4">
        <f>IFERROR(__xludf.DUMMYFUNCTION("""COMPUTED_VALUE"""),60.0)</f>
        <v>60</v>
      </c>
      <c r="D153" s="4">
        <f>IFERROR(__xludf.DUMMYFUNCTION("""COMPUTED_VALUE"""),60000.0)</f>
        <v>60000</v>
      </c>
      <c r="E153" s="4">
        <f>IFERROR(__xludf.DUMMYFUNCTION("""COMPUTED_VALUE"""),60000.0)</f>
        <v>60000</v>
      </c>
      <c r="F153" s="4">
        <f>IFERROR(__xludf.DUMMYFUNCTION("""COMPUTED_VALUE"""),60000.0)</f>
        <v>60000</v>
      </c>
      <c r="G153" s="4">
        <f>IFERROR(__xludf.DUMMYFUNCTION("""COMPUTED_VALUE"""),637.0)</f>
        <v>637</v>
      </c>
      <c r="H153" s="4">
        <f>IFERROR(__xludf.DUMMYFUNCTION("""COMPUTED_VALUE"""),441.0)</f>
        <v>441</v>
      </c>
      <c r="I153" s="2" t="str">
        <f>IFERROR(__xludf.DUMMYFUNCTION("""COMPUTED_VALUE"""),"random")</f>
        <v>random</v>
      </c>
      <c r="J153" s="2">
        <f t="shared" si="2"/>
        <v>19</v>
      </c>
      <c r="K153" s="2">
        <f t="shared" si="3"/>
        <v>2000000</v>
      </c>
      <c r="L153" s="2" t="str">
        <f t="shared" si="4"/>
        <v>P</v>
      </c>
    </row>
    <row r="154">
      <c r="A154" s="2" t="str">
        <f>IFERROR(__xludf.DUMMYFUNCTION("""COMPUTED_VALUE"""),"examples/random/sparse_3000_3_9")</f>
        <v>examples/random/sparse_3000_3_9</v>
      </c>
      <c r="B154" s="4">
        <f>IFERROR(__xludf.DUMMYFUNCTION("""COMPUTED_VALUE"""),12000.0)</f>
        <v>12000</v>
      </c>
      <c r="C154" s="4">
        <f>IFERROR(__xludf.DUMMYFUNCTION("""COMPUTED_VALUE"""),60.0)</f>
        <v>60</v>
      </c>
      <c r="D154" s="4">
        <f>IFERROR(__xludf.DUMMYFUNCTION("""COMPUTED_VALUE"""),60000.0)</f>
        <v>60000</v>
      </c>
      <c r="E154" s="4">
        <f>IFERROR(__xludf.DUMMYFUNCTION("""COMPUTED_VALUE"""),270.0)</f>
        <v>270</v>
      </c>
      <c r="F154" s="4">
        <f>IFERROR(__xludf.DUMMYFUNCTION("""COMPUTED_VALUE"""),486.0)</f>
        <v>486</v>
      </c>
      <c r="G154" s="4">
        <f>IFERROR(__xludf.DUMMYFUNCTION("""COMPUTED_VALUE"""),23.0)</f>
        <v>23</v>
      </c>
      <c r="H154" s="4">
        <f>IFERROR(__xludf.DUMMYFUNCTION("""COMPUTED_VALUE"""),5.0)</f>
        <v>5</v>
      </c>
      <c r="I154" s="2" t="str">
        <f>IFERROR(__xludf.DUMMYFUNCTION("""COMPUTED_VALUE"""),"random")</f>
        <v>random</v>
      </c>
      <c r="J154" s="2">
        <f t="shared" si="2"/>
        <v>12</v>
      </c>
      <c r="K154" s="2">
        <f t="shared" si="3"/>
        <v>10000</v>
      </c>
      <c r="L154" s="2" t="str">
        <f t="shared" si="4"/>
        <v>P</v>
      </c>
    </row>
    <row r="155">
      <c r="A155" s="2" t="str">
        <f>IFERROR(__xludf.DUMMYFUNCTION("""COMPUTED_VALUE"""),"examples/random/sparse_1000_2_8")</f>
        <v>examples/random/sparse_1000_2_8</v>
      </c>
      <c r="B155" s="4">
        <f>IFERROR(__xludf.DUMMYFUNCTION("""COMPUTED_VALUE"""),3000.0)</f>
        <v>3000</v>
      </c>
      <c r="C155" s="4">
        <f>IFERROR(__xludf.DUMMYFUNCTION("""COMPUTED_VALUE"""),60.0)</f>
        <v>60</v>
      </c>
      <c r="D155" s="4">
        <f>IFERROR(__xludf.DUMMYFUNCTION("""COMPUTED_VALUE"""),5108.0)</f>
        <v>5108</v>
      </c>
      <c r="E155" s="4">
        <f>IFERROR(__xludf.DUMMYFUNCTION("""COMPUTED_VALUE"""),14.0)</f>
        <v>14</v>
      </c>
      <c r="F155" s="4">
        <f>IFERROR(__xludf.DUMMYFUNCTION("""COMPUTED_VALUE"""),25.0)</f>
        <v>25</v>
      </c>
      <c r="G155" s="4">
        <f>IFERROR(__xludf.DUMMYFUNCTION("""COMPUTED_VALUE"""),7.0)</f>
        <v>7</v>
      </c>
      <c r="H155" s="4">
        <f>IFERROR(__xludf.DUMMYFUNCTION("""COMPUTED_VALUE"""),1.0)</f>
        <v>1</v>
      </c>
      <c r="I155" s="2" t="str">
        <f>IFERROR(__xludf.DUMMYFUNCTION("""COMPUTED_VALUE"""),"random")</f>
        <v>random</v>
      </c>
      <c r="J155" s="2">
        <f t="shared" si="2"/>
        <v>10</v>
      </c>
      <c r="K155" s="2">
        <f t="shared" si="3"/>
        <v>2000</v>
      </c>
      <c r="L155" s="2" t="str">
        <f t="shared" si="4"/>
        <v>P</v>
      </c>
    </row>
    <row r="156">
      <c r="A156" s="2" t="str">
        <f>IFERROR(__xludf.DUMMYFUNCTION("""COMPUTED_VALUE"""),"examples/random/sparse_10000_10_10")</f>
        <v>examples/random/sparse_10000_10_10</v>
      </c>
      <c r="B156" s="4">
        <f>IFERROR(__xludf.DUMMYFUNCTION("""COMPUTED_VALUE"""),110000.0)</f>
        <v>110000</v>
      </c>
      <c r="C156" s="4">
        <f>IFERROR(__xludf.DUMMYFUNCTION("""COMPUTED_VALUE"""),60.0)</f>
        <v>60</v>
      </c>
      <c r="D156" s="4">
        <f>IFERROR(__xludf.DUMMYFUNCTION("""COMPUTED_VALUE"""),60000.0)</f>
        <v>60000</v>
      </c>
      <c r="E156" s="4">
        <f>IFERROR(__xludf.DUMMYFUNCTION("""COMPUTED_VALUE"""),16282.0)</f>
        <v>16282</v>
      </c>
      <c r="F156" s="4">
        <f>IFERROR(__xludf.DUMMYFUNCTION("""COMPUTED_VALUE"""),22880.0)</f>
        <v>22880</v>
      </c>
      <c r="G156" s="4">
        <f>IFERROR(__xludf.DUMMYFUNCTION("""COMPUTED_VALUE"""),104.0)</f>
        <v>104</v>
      </c>
      <c r="H156" s="4">
        <f>IFERROR(__xludf.DUMMYFUNCTION("""COMPUTED_VALUE"""),36.0)</f>
        <v>36</v>
      </c>
      <c r="I156" s="2" t="str">
        <f>IFERROR(__xludf.DUMMYFUNCTION("""COMPUTED_VALUE"""),"random")</f>
        <v>random</v>
      </c>
      <c r="J156" s="2">
        <f t="shared" si="2"/>
        <v>15</v>
      </c>
      <c r="K156" s="2">
        <f t="shared" si="3"/>
        <v>100000</v>
      </c>
      <c r="L156" s="2" t="str">
        <f t="shared" si="4"/>
        <v>P</v>
      </c>
    </row>
    <row r="157">
      <c r="A157" s="2" t="str">
        <f>IFERROR(__xludf.DUMMYFUNCTION("""COMPUTED_VALUE"""),"examples/random/dense_300_3_4")</f>
        <v>examples/random/dense_300_3_4</v>
      </c>
      <c r="B157" s="4">
        <f>IFERROR(__xludf.DUMMYFUNCTION("""COMPUTED_VALUE"""),2902.0)</f>
        <v>2902</v>
      </c>
      <c r="C157" s="4">
        <f>IFERROR(__xludf.DUMMYFUNCTION("""COMPUTED_VALUE"""),60.0)</f>
        <v>60</v>
      </c>
      <c r="D157" s="4">
        <f>IFERROR(__xludf.DUMMYFUNCTION("""COMPUTED_VALUE"""),1129.0)</f>
        <v>1129</v>
      </c>
      <c r="E157" s="4">
        <f>IFERROR(__xludf.DUMMYFUNCTION("""COMPUTED_VALUE"""),10.0)</f>
        <v>10</v>
      </c>
      <c r="F157" s="4">
        <f>IFERROR(__xludf.DUMMYFUNCTION("""COMPUTED_VALUE"""),14.0)</f>
        <v>14</v>
      </c>
      <c r="G157" s="4">
        <f>IFERROR(__xludf.DUMMYFUNCTION("""COMPUTED_VALUE"""),2.0)</f>
        <v>2</v>
      </c>
      <c r="H157" s="4">
        <f>IFERROR(__xludf.DUMMYFUNCTION("""COMPUTED_VALUE"""),0.0)</f>
        <v>0</v>
      </c>
      <c r="I157" s="2" t="str">
        <f>IFERROR(__xludf.DUMMYFUNCTION("""COMPUTED_VALUE"""),"random")</f>
        <v>random</v>
      </c>
      <c r="J157" s="2">
        <f t="shared" si="2"/>
        <v>10</v>
      </c>
      <c r="K157" s="2">
        <f t="shared" si="3"/>
        <v>2000</v>
      </c>
      <c r="L157" s="2" t="str">
        <f t="shared" si="4"/>
        <v>P</v>
      </c>
    </row>
    <row r="158">
      <c r="A158" s="2" t="str">
        <f>IFERROR(__xludf.DUMMYFUNCTION("""COMPUTED_VALUE"""),"examples/random/sparse_3000_1_7")</f>
        <v>examples/random/sparse_3000_1_7</v>
      </c>
      <c r="B158" s="4">
        <f>IFERROR(__xludf.DUMMYFUNCTION("""COMPUTED_VALUE"""),6000.0)</f>
        <v>6000</v>
      </c>
      <c r="C158" s="4">
        <f>IFERROR(__xludf.DUMMYFUNCTION("""COMPUTED_VALUE"""),60.0)</f>
        <v>60</v>
      </c>
      <c r="D158" s="4">
        <f>IFERROR(__xludf.DUMMYFUNCTION("""COMPUTED_VALUE"""),1538.0)</f>
        <v>1538</v>
      </c>
      <c r="E158" s="4">
        <f>IFERROR(__xludf.DUMMYFUNCTION("""COMPUTED_VALUE"""),6.0)</f>
        <v>6</v>
      </c>
      <c r="F158" s="4">
        <f>IFERROR(__xludf.DUMMYFUNCTION("""COMPUTED_VALUE"""),5.0)</f>
        <v>5</v>
      </c>
      <c r="G158" s="4">
        <f>IFERROR(__xludf.DUMMYFUNCTION("""COMPUTED_VALUE"""),33.0)</f>
        <v>33</v>
      </c>
      <c r="H158" s="4">
        <f>IFERROR(__xludf.DUMMYFUNCTION("""COMPUTED_VALUE"""),4.0)</f>
        <v>4</v>
      </c>
      <c r="I158" s="2" t="str">
        <f>IFERROR(__xludf.DUMMYFUNCTION("""COMPUTED_VALUE"""),"random")</f>
        <v>random</v>
      </c>
      <c r="J158" s="2">
        <f t="shared" si="2"/>
        <v>11</v>
      </c>
      <c r="K158" s="2">
        <f t="shared" si="3"/>
        <v>5000</v>
      </c>
      <c r="L158" s="2" t="str">
        <f t="shared" si="4"/>
        <v>P</v>
      </c>
    </row>
    <row r="159">
      <c r="A159" s="2" t="str">
        <f>IFERROR(__xludf.DUMMYFUNCTION("""COMPUTED_VALUE"""),"examples/random/sparse_10000_3_2")</f>
        <v>examples/random/sparse_10000_3_2</v>
      </c>
      <c r="B159" s="4">
        <f>IFERROR(__xludf.DUMMYFUNCTION("""COMPUTED_VALUE"""),40000.0)</f>
        <v>40000</v>
      </c>
      <c r="C159" s="4">
        <f>IFERROR(__xludf.DUMMYFUNCTION("""COMPUTED_VALUE"""),60.0)</f>
        <v>60</v>
      </c>
      <c r="D159" s="4">
        <f>IFERROR(__xludf.DUMMYFUNCTION("""COMPUTED_VALUE"""),60000.0)</f>
        <v>60000</v>
      </c>
      <c r="E159" s="4">
        <f>IFERROR(__xludf.DUMMYFUNCTION("""COMPUTED_VALUE"""),3308.0)</f>
        <v>3308</v>
      </c>
      <c r="F159" s="4">
        <f>IFERROR(__xludf.DUMMYFUNCTION("""COMPUTED_VALUE"""),5654.0)</f>
        <v>5654</v>
      </c>
      <c r="G159" s="4">
        <f>IFERROR(__xludf.DUMMYFUNCTION("""COMPUTED_VALUE"""),82.0)</f>
        <v>82</v>
      </c>
      <c r="H159" s="4">
        <f>IFERROR(__xludf.DUMMYFUNCTION("""COMPUTED_VALUE"""),17.0)</f>
        <v>17</v>
      </c>
      <c r="I159" s="2" t="str">
        <f>IFERROR(__xludf.DUMMYFUNCTION("""COMPUTED_VALUE"""),"random")</f>
        <v>random</v>
      </c>
      <c r="J159" s="2">
        <f t="shared" si="2"/>
        <v>14</v>
      </c>
      <c r="K159" s="2">
        <f t="shared" si="3"/>
        <v>50000</v>
      </c>
      <c r="L159" s="2" t="str">
        <f t="shared" si="4"/>
        <v>P</v>
      </c>
    </row>
    <row r="160">
      <c r="A160" s="2" t="str">
        <f>IFERROR(__xludf.DUMMYFUNCTION("""COMPUTED_VALUE"""),"examples/random/dense_1000_2_1")</f>
        <v>examples/random/dense_1000_2_1</v>
      </c>
      <c r="B160" s="4">
        <f>IFERROR(__xludf.DUMMYFUNCTION("""COMPUTED_VALUE"""),21037.0)</f>
        <v>21037</v>
      </c>
      <c r="C160" s="4">
        <f>IFERROR(__xludf.DUMMYFUNCTION("""COMPUTED_VALUE"""),60.0)</f>
        <v>60</v>
      </c>
      <c r="D160" s="4">
        <f>IFERROR(__xludf.DUMMYFUNCTION("""COMPUTED_VALUE"""),60000.0)</f>
        <v>60000</v>
      </c>
      <c r="E160" s="4">
        <f>IFERROR(__xludf.DUMMYFUNCTION("""COMPUTED_VALUE"""),304.0)</f>
        <v>304</v>
      </c>
      <c r="F160" s="4">
        <f>IFERROR(__xludf.DUMMYFUNCTION("""COMPUTED_VALUE"""),422.0)</f>
        <v>422</v>
      </c>
      <c r="G160" s="4">
        <f>IFERROR(__xludf.DUMMYFUNCTION("""COMPUTED_VALUE"""),11.0)</f>
        <v>11</v>
      </c>
      <c r="H160" s="4">
        <f>IFERROR(__xludf.DUMMYFUNCTION("""COMPUTED_VALUE"""),4.0)</f>
        <v>4</v>
      </c>
      <c r="I160" s="2" t="str">
        <f>IFERROR(__xludf.DUMMYFUNCTION("""COMPUTED_VALUE"""),"random")</f>
        <v>random</v>
      </c>
      <c r="J160" s="2">
        <f t="shared" si="2"/>
        <v>13</v>
      </c>
      <c r="K160" s="2">
        <f t="shared" si="3"/>
        <v>20000</v>
      </c>
      <c r="L160" s="2" t="str">
        <f t="shared" si="4"/>
        <v>P</v>
      </c>
    </row>
    <row r="161">
      <c r="A161" s="2" t="str">
        <f>IFERROR(__xludf.DUMMYFUNCTION("""COMPUTED_VALUE"""),"examples/random/sparse_100_3_10")</f>
        <v>examples/random/sparse_100_3_10</v>
      </c>
      <c r="B161" s="4">
        <f>IFERROR(__xludf.DUMMYFUNCTION("""COMPUTED_VALUE"""),400.0)</f>
        <v>400</v>
      </c>
      <c r="C161" s="4">
        <f>IFERROR(__xludf.DUMMYFUNCTION("""COMPUTED_VALUE"""),60.0)</f>
        <v>60</v>
      </c>
      <c r="D161" s="4">
        <f>IFERROR(__xludf.DUMMYFUNCTION("""COMPUTED_VALUE"""),15.0)</f>
        <v>15</v>
      </c>
      <c r="E161" s="4">
        <f>IFERROR(__xludf.DUMMYFUNCTION("""COMPUTED_VALUE"""),0.0)</f>
        <v>0</v>
      </c>
      <c r="F161" s="4">
        <f>IFERROR(__xludf.DUMMYFUNCTION("""COMPUTED_VALUE"""),0.0)</f>
        <v>0</v>
      </c>
      <c r="G161" s="4">
        <f>IFERROR(__xludf.DUMMYFUNCTION("""COMPUTED_VALUE"""),0.0)</f>
        <v>0</v>
      </c>
      <c r="H161" s="4">
        <f>IFERROR(__xludf.DUMMYFUNCTION("""COMPUTED_VALUE"""),0.0)</f>
        <v>0</v>
      </c>
      <c r="I161" s="2" t="str">
        <f>IFERROR(__xludf.DUMMYFUNCTION("""COMPUTED_VALUE"""),"random")</f>
        <v>random</v>
      </c>
      <c r="J161" s="2">
        <f t="shared" si="2"/>
        <v>8</v>
      </c>
      <c r="K161" s="2">
        <f t="shared" si="3"/>
        <v>500</v>
      </c>
      <c r="L161" s="2">
        <f t="shared" si="4"/>
        <v>0</v>
      </c>
    </row>
    <row r="162">
      <c r="A162" s="2" t="str">
        <f>IFERROR(__xludf.DUMMYFUNCTION("""COMPUTED_VALUE"""),"examples/random/sparse_30000_1_8")</f>
        <v>examples/random/sparse_30000_1_8</v>
      </c>
      <c r="B162" s="4">
        <f>IFERROR(__xludf.DUMMYFUNCTION("""COMPUTED_VALUE"""),60000.0)</f>
        <v>60000</v>
      </c>
      <c r="C162" s="4">
        <f>IFERROR(__xludf.DUMMYFUNCTION("""COMPUTED_VALUE"""),60.0)</f>
        <v>60</v>
      </c>
      <c r="D162" s="4">
        <f>IFERROR(__xludf.DUMMYFUNCTION("""COMPUTED_VALUE"""),60000.0)</f>
        <v>60000</v>
      </c>
      <c r="E162" s="4">
        <f>IFERROR(__xludf.DUMMYFUNCTION("""COMPUTED_VALUE"""),75.0)</f>
        <v>75</v>
      </c>
      <c r="F162" s="4">
        <f>IFERROR(__xludf.DUMMYFUNCTION("""COMPUTED_VALUE"""),69.0)</f>
        <v>69</v>
      </c>
      <c r="G162" s="4">
        <f>IFERROR(__xludf.DUMMYFUNCTION("""COMPUTED_VALUE"""),387.0)</f>
        <v>387</v>
      </c>
      <c r="H162" s="4">
        <f>IFERROR(__xludf.DUMMYFUNCTION("""COMPUTED_VALUE"""),52.0)</f>
        <v>52</v>
      </c>
      <c r="I162" s="2" t="str">
        <f>IFERROR(__xludf.DUMMYFUNCTION("""COMPUTED_VALUE"""),"random")</f>
        <v>random</v>
      </c>
      <c r="J162" s="2">
        <f t="shared" si="2"/>
        <v>14</v>
      </c>
      <c r="K162" s="2">
        <f t="shared" si="3"/>
        <v>50000</v>
      </c>
      <c r="L162" s="2" t="str">
        <f t="shared" si="4"/>
        <v>P</v>
      </c>
    </row>
    <row r="163">
      <c r="A163" s="2" t="str">
        <f>IFERROR(__xludf.DUMMYFUNCTION("""COMPUTED_VALUE"""),"examples/random/sparse_30000_3_6")</f>
        <v>examples/random/sparse_30000_3_6</v>
      </c>
      <c r="B163" s="4">
        <f>IFERROR(__xludf.DUMMYFUNCTION("""COMPUTED_VALUE"""),120000.0)</f>
        <v>120000</v>
      </c>
      <c r="C163" s="4">
        <f>IFERROR(__xludf.DUMMYFUNCTION("""COMPUTED_VALUE"""),60.0)</f>
        <v>60</v>
      </c>
      <c r="D163" s="4">
        <f>IFERROR(__xludf.DUMMYFUNCTION("""COMPUTED_VALUE"""),60000.0)</f>
        <v>60000</v>
      </c>
      <c r="E163" s="4">
        <f>IFERROR(__xludf.DUMMYFUNCTION("""COMPUTED_VALUE"""),31756.0)</f>
        <v>31756</v>
      </c>
      <c r="F163" s="4">
        <f>IFERROR(__xludf.DUMMYFUNCTION("""COMPUTED_VALUE"""),56191.0)</f>
        <v>56191</v>
      </c>
      <c r="G163" s="4">
        <f>IFERROR(__xludf.DUMMYFUNCTION("""COMPUTED_VALUE"""),305.0)</f>
        <v>305</v>
      </c>
      <c r="H163" s="4">
        <f>IFERROR(__xludf.DUMMYFUNCTION("""COMPUTED_VALUE"""),71.0)</f>
        <v>71</v>
      </c>
      <c r="I163" s="2" t="str">
        <f>IFERROR(__xludf.DUMMYFUNCTION("""COMPUTED_VALUE"""),"random")</f>
        <v>random</v>
      </c>
      <c r="J163" s="2">
        <f t="shared" si="2"/>
        <v>15</v>
      </c>
      <c r="K163" s="2">
        <f t="shared" si="3"/>
        <v>100000</v>
      </c>
      <c r="L163" s="2" t="str">
        <f t="shared" si="4"/>
        <v>P</v>
      </c>
    </row>
    <row r="164">
      <c r="A164" s="2" t="str">
        <f>IFERROR(__xludf.DUMMYFUNCTION("""COMPUTED_VALUE"""),"examples/random/sparse_100_10_9")</f>
        <v>examples/random/sparse_100_10_9</v>
      </c>
      <c r="B164" s="4">
        <f>IFERROR(__xludf.DUMMYFUNCTION("""COMPUTED_VALUE"""),1100.0)</f>
        <v>1100</v>
      </c>
      <c r="C164" s="4">
        <f>IFERROR(__xludf.DUMMYFUNCTION("""COMPUTED_VALUE"""),60.0)</f>
        <v>60</v>
      </c>
      <c r="D164" s="4">
        <f>IFERROR(__xludf.DUMMYFUNCTION("""COMPUTED_VALUE"""),49.0)</f>
        <v>49</v>
      </c>
      <c r="E164" s="4">
        <f>IFERROR(__xludf.DUMMYFUNCTION("""COMPUTED_VALUE"""),1.0)</f>
        <v>1</v>
      </c>
      <c r="F164" s="4">
        <f>IFERROR(__xludf.DUMMYFUNCTION("""COMPUTED_VALUE"""),2.0)</f>
        <v>2</v>
      </c>
      <c r="G164" s="4">
        <f>IFERROR(__xludf.DUMMYFUNCTION("""COMPUTED_VALUE"""),0.0)</f>
        <v>0</v>
      </c>
      <c r="H164" s="4">
        <f>IFERROR(__xludf.DUMMYFUNCTION("""COMPUTED_VALUE"""),0.0)</f>
        <v>0</v>
      </c>
      <c r="I164" s="2" t="str">
        <f>IFERROR(__xludf.DUMMYFUNCTION("""COMPUTED_VALUE"""),"random")</f>
        <v>random</v>
      </c>
      <c r="J164" s="2">
        <f t="shared" si="2"/>
        <v>9</v>
      </c>
      <c r="K164" s="2">
        <f t="shared" si="3"/>
        <v>1000</v>
      </c>
      <c r="L164" s="2" t="str">
        <f t="shared" si="4"/>
        <v>JP</v>
      </c>
    </row>
    <row r="165">
      <c r="A165" s="2" t="str">
        <f>IFERROR(__xludf.DUMMYFUNCTION("""COMPUTED_VALUE"""),"examples/random/dense_1000_1_5")</f>
        <v>examples/random/dense_1000_1_5</v>
      </c>
      <c r="B165" s="4">
        <f>IFERROR(__xludf.DUMMYFUNCTION("""COMPUTED_VALUE"""),11068.0)</f>
        <v>11068</v>
      </c>
      <c r="C165" s="4">
        <f>IFERROR(__xludf.DUMMYFUNCTION("""COMPUTED_VALUE"""),60.0)</f>
        <v>60</v>
      </c>
      <c r="D165" s="4">
        <f>IFERROR(__xludf.DUMMYFUNCTION("""COMPUTED_VALUE"""),50694.0)</f>
        <v>50694</v>
      </c>
      <c r="E165" s="4">
        <f>IFERROR(__xludf.DUMMYFUNCTION("""COMPUTED_VALUE"""),148.0)</f>
        <v>148</v>
      </c>
      <c r="F165" s="4">
        <f>IFERROR(__xludf.DUMMYFUNCTION("""COMPUTED_VALUE"""),200.0)</f>
        <v>200</v>
      </c>
      <c r="G165" s="4">
        <f>IFERROR(__xludf.DUMMYFUNCTION("""COMPUTED_VALUE"""),8.0)</f>
        <v>8</v>
      </c>
      <c r="H165" s="4">
        <f>IFERROR(__xludf.DUMMYFUNCTION("""COMPUTED_VALUE"""),2.0)</f>
        <v>2</v>
      </c>
      <c r="I165" s="2" t="str">
        <f>IFERROR(__xludf.DUMMYFUNCTION("""COMPUTED_VALUE"""),"random")</f>
        <v>random</v>
      </c>
      <c r="J165" s="2">
        <f t="shared" si="2"/>
        <v>12</v>
      </c>
      <c r="K165" s="2">
        <f t="shared" si="3"/>
        <v>10000</v>
      </c>
      <c r="L165" s="2" t="str">
        <f t="shared" si="4"/>
        <v>P</v>
      </c>
    </row>
    <row r="166">
      <c r="A166" s="2" t="str">
        <f>IFERROR(__xludf.DUMMYFUNCTION("""COMPUTED_VALUE"""),"examples/random/sparse_100000_10_7")</f>
        <v>examples/random/sparse_100000_10_7</v>
      </c>
      <c r="B166" s="4">
        <f>IFERROR(__xludf.DUMMYFUNCTION("""COMPUTED_VALUE"""),1100000.0)</f>
        <v>1100000</v>
      </c>
      <c r="C166" s="4">
        <f>IFERROR(__xludf.DUMMYFUNCTION("""COMPUTED_VALUE"""),60.0)</f>
        <v>60</v>
      </c>
      <c r="D166" s="4">
        <f>IFERROR(__xludf.DUMMYFUNCTION("""COMPUTED_VALUE"""),60000.0)</f>
        <v>60000</v>
      </c>
      <c r="E166" s="4">
        <f>IFERROR(__xludf.DUMMYFUNCTION("""COMPUTED_VALUE"""),60000.0)</f>
        <v>60000</v>
      </c>
      <c r="F166" s="4">
        <f>IFERROR(__xludf.DUMMYFUNCTION("""COMPUTED_VALUE"""),60000.0)</f>
        <v>60000</v>
      </c>
      <c r="G166" s="4">
        <f>IFERROR(__xludf.DUMMYFUNCTION("""COMPUTED_VALUE"""),1541.0)</f>
        <v>1541</v>
      </c>
      <c r="H166" s="4">
        <f>IFERROR(__xludf.DUMMYFUNCTION("""COMPUTED_VALUE"""),468.0)</f>
        <v>468</v>
      </c>
      <c r="I166" s="2" t="str">
        <f>IFERROR(__xludf.DUMMYFUNCTION("""COMPUTED_VALUE"""),"random")</f>
        <v>random</v>
      </c>
      <c r="J166" s="2">
        <f t="shared" si="2"/>
        <v>18</v>
      </c>
      <c r="K166" s="2">
        <f t="shared" si="3"/>
        <v>1000000</v>
      </c>
      <c r="L166" s="2" t="str">
        <f t="shared" si="4"/>
        <v>P</v>
      </c>
    </row>
    <row r="167">
      <c r="A167" s="2" t="str">
        <f>IFERROR(__xludf.DUMMYFUNCTION("""COMPUTED_VALUE"""),"examples/random/sparse_300_10_2")</f>
        <v>examples/random/sparse_300_10_2</v>
      </c>
      <c r="B167" s="4">
        <f>IFERROR(__xludf.DUMMYFUNCTION("""COMPUTED_VALUE"""),3300.0)</f>
        <v>3300</v>
      </c>
      <c r="C167" s="4">
        <f>IFERROR(__xludf.DUMMYFUNCTION("""COMPUTED_VALUE"""),60.0)</f>
        <v>60</v>
      </c>
      <c r="D167" s="4">
        <f>IFERROR(__xludf.DUMMYFUNCTION("""COMPUTED_VALUE"""),1330.0)</f>
        <v>1330</v>
      </c>
      <c r="E167" s="4">
        <f>IFERROR(__xludf.DUMMYFUNCTION("""COMPUTED_VALUE"""),12.0)</f>
        <v>12</v>
      </c>
      <c r="F167" s="4">
        <f>IFERROR(__xludf.DUMMYFUNCTION("""COMPUTED_VALUE"""),17.0)</f>
        <v>17</v>
      </c>
      <c r="G167" s="4">
        <f>IFERROR(__xludf.DUMMYFUNCTION("""COMPUTED_VALUE"""),2.0)</f>
        <v>2</v>
      </c>
      <c r="H167" s="4">
        <f>IFERROR(__xludf.DUMMYFUNCTION("""COMPUTED_VALUE"""),1.0)</f>
        <v>1</v>
      </c>
      <c r="I167" s="2" t="str">
        <f>IFERROR(__xludf.DUMMYFUNCTION("""COMPUTED_VALUE"""),"random")</f>
        <v>random</v>
      </c>
      <c r="J167" s="2">
        <f t="shared" si="2"/>
        <v>11</v>
      </c>
      <c r="K167" s="2">
        <f t="shared" si="3"/>
        <v>5000</v>
      </c>
      <c r="L167" s="2" t="str">
        <f t="shared" si="4"/>
        <v>P</v>
      </c>
    </row>
    <row r="168">
      <c r="A168" s="2" t="str">
        <f>IFERROR(__xludf.DUMMYFUNCTION("""COMPUTED_VALUE"""),"examples/random/dense_3000_3_10")</f>
        <v>examples/random/dense_3000_3_10</v>
      </c>
      <c r="B168" s="4">
        <f>IFERROR(__xludf.DUMMYFUNCTION("""COMPUTED_VALUE"""),273736.0)</f>
        <v>273736</v>
      </c>
      <c r="C168" s="4">
        <f>IFERROR(__xludf.DUMMYFUNCTION("""COMPUTED_VALUE"""),60.0)</f>
        <v>60</v>
      </c>
      <c r="D168" s="4">
        <f>IFERROR(__xludf.DUMMYFUNCTION("""COMPUTED_VALUE"""),60000.0)</f>
        <v>60000</v>
      </c>
      <c r="E168" s="4">
        <f>IFERROR(__xludf.DUMMYFUNCTION("""COMPUTED_VALUE"""),12806.0)</f>
        <v>12806</v>
      </c>
      <c r="F168" s="4">
        <f>IFERROR(__xludf.DUMMYFUNCTION("""COMPUTED_VALUE"""),36262.0)</f>
        <v>36262</v>
      </c>
      <c r="G168" s="4">
        <f>IFERROR(__xludf.DUMMYFUNCTION("""COMPUTED_VALUE"""),97.0)</f>
        <v>97</v>
      </c>
      <c r="H168" s="4">
        <f>IFERROR(__xludf.DUMMYFUNCTION("""COMPUTED_VALUE"""),58.0)</f>
        <v>58</v>
      </c>
      <c r="I168" s="2" t="str">
        <f>IFERROR(__xludf.DUMMYFUNCTION("""COMPUTED_VALUE"""),"random")</f>
        <v>random</v>
      </c>
      <c r="J168" s="2">
        <f t="shared" si="2"/>
        <v>16</v>
      </c>
      <c r="K168" s="2">
        <f t="shared" si="3"/>
        <v>200000</v>
      </c>
      <c r="L168" s="2" t="str">
        <f t="shared" si="4"/>
        <v>P</v>
      </c>
    </row>
    <row r="169">
      <c r="A169" s="2" t="str">
        <f>IFERROR(__xludf.DUMMYFUNCTION("""COMPUTED_VALUE"""),"examples/random/sparse_300_3_5")</f>
        <v>examples/random/sparse_300_3_5</v>
      </c>
      <c r="B169" s="4">
        <f>IFERROR(__xludf.DUMMYFUNCTION("""COMPUTED_VALUE"""),1200.0)</f>
        <v>1200</v>
      </c>
      <c r="C169" s="4">
        <f>IFERROR(__xludf.DUMMYFUNCTION("""COMPUTED_VALUE"""),60.0)</f>
        <v>60</v>
      </c>
      <c r="D169" s="4">
        <f>IFERROR(__xludf.DUMMYFUNCTION("""COMPUTED_VALUE"""),342.0)</f>
        <v>342</v>
      </c>
      <c r="E169" s="4">
        <f>IFERROR(__xludf.DUMMYFUNCTION("""COMPUTED_VALUE"""),2.0)</f>
        <v>2</v>
      </c>
      <c r="F169" s="4">
        <f>IFERROR(__xludf.DUMMYFUNCTION("""COMPUTED_VALUE"""),5.0)</f>
        <v>5</v>
      </c>
      <c r="G169" s="4">
        <f>IFERROR(__xludf.DUMMYFUNCTION("""COMPUTED_VALUE"""),2.0)</f>
        <v>2</v>
      </c>
      <c r="H169" s="4">
        <f>IFERROR(__xludf.DUMMYFUNCTION("""COMPUTED_VALUE"""),0.0)</f>
        <v>0</v>
      </c>
      <c r="I169" s="2" t="str">
        <f>IFERROR(__xludf.DUMMYFUNCTION("""COMPUTED_VALUE"""),"random")</f>
        <v>random</v>
      </c>
      <c r="J169" s="2">
        <f t="shared" si="2"/>
        <v>9</v>
      </c>
      <c r="K169" s="2">
        <f t="shared" si="3"/>
        <v>1000</v>
      </c>
      <c r="L169" s="2" t="str">
        <f t="shared" si="4"/>
        <v>P</v>
      </c>
    </row>
    <row r="170">
      <c r="A170" s="2" t="str">
        <f>IFERROR(__xludf.DUMMYFUNCTION("""COMPUTED_VALUE"""),"examples/random/sparse_10000_2_8")</f>
        <v>examples/random/sparse_10000_2_8</v>
      </c>
      <c r="B170" s="4">
        <f>IFERROR(__xludf.DUMMYFUNCTION("""COMPUTED_VALUE"""),30000.0)</f>
        <v>30000</v>
      </c>
      <c r="C170" s="4">
        <f>IFERROR(__xludf.DUMMYFUNCTION("""COMPUTED_VALUE"""),60.0)</f>
        <v>60</v>
      </c>
      <c r="D170" s="4">
        <f>IFERROR(__xludf.DUMMYFUNCTION("""COMPUTED_VALUE"""),60000.0)</f>
        <v>60000</v>
      </c>
      <c r="E170" s="4">
        <f>IFERROR(__xludf.DUMMYFUNCTION("""COMPUTED_VALUE"""),1428.0)</f>
        <v>1428</v>
      </c>
      <c r="F170" s="4">
        <f>IFERROR(__xludf.DUMMYFUNCTION("""COMPUTED_VALUE"""),2511.0)</f>
        <v>2511</v>
      </c>
      <c r="G170" s="4">
        <f>IFERROR(__xludf.DUMMYFUNCTION("""COMPUTED_VALUE"""),82.0)</f>
        <v>82</v>
      </c>
      <c r="H170" s="4">
        <f>IFERROR(__xludf.DUMMYFUNCTION("""COMPUTED_VALUE"""),17.0)</f>
        <v>17</v>
      </c>
      <c r="I170" s="2" t="str">
        <f>IFERROR(__xludf.DUMMYFUNCTION("""COMPUTED_VALUE"""),"random")</f>
        <v>random</v>
      </c>
      <c r="J170" s="2">
        <f t="shared" si="2"/>
        <v>13</v>
      </c>
      <c r="K170" s="2">
        <f t="shared" si="3"/>
        <v>20000</v>
      </c>
      <c r="L170" s="2" t="str">
        <f t="shared" si="4"/>
        <v>P</v>
      </c>
    </row>
    <row r="171">
      <c r="A171" s="2" t="str">
        <f>IFERROR(__xludf.DUMMYFUNCTION("""COMPUTED_VALUE"""),"examples/random/sparse_100_3_8")</f>
        <v>examples/random/sparse_100_3_8</v>
      </c>
      <c r="B171" s="4">
        <f>IFERROR(__xludf.DUMMYFUNCTION("""COMPUTED_VALUE"""),400.0)</f>
        <v>400</v>
      </c>
      <c r="C171" s="4">
        <f>IFERROR(__xludf.DUMMYFUNCTION("""COMPUTED_VALUE"""),60.0)</f>
        <v>60</v>
      </c>
      <c r="D171" s="4">
        <f>IFERROR(__xludf.DUMMYFUNCTION("""COMPUTED_VALUE"""),15.0)</f>
        <v>15</v>
      </c>
      <c r="E171" s="4">
        <f>IFERROR(__xludf.DUMMYFUNCTION("""COMPUTED_VALUE"""),0.0)</f>
        <v>0</v>
      </c>
      <c r="F171" s="4">
        <f>IFERROR(__xludf.DUMMYFUNCTION("""COMPUTED_VALUE"""),0.0)</f>
        <v>0</v>
      </c>
      <c r="G171" s="4">
        <f>IFERROR(__xludf.DUMMYFUNCTION("""COMPUTED_VALUE"""),0.0)</f>
        <v>0</v>
      </c>
      <c r="H171" s="4">
        <f>IFERROR(__xludf.DUMMYFUNCTION("""COMPUTED_VALUE"""),0.0)</f>
        <v>0</v>
      </c>
      <c r="I171" s="2" t="str">
        <f>IFERROR(__xludf.DUMMYFUNCTION("""COMPUTED_VALUE"""),"random")</f>
        <v>random</v>
      </c>
      <c r="J171" s="2">
        <f t="shared" si="2"/>
        <v>8</v>
      </c>
      <c r="K171" s="2">
        <f t="shared" si="3"/>
        <v>500</v>
      </c>
      <c r="L171" s="2">
        <f t="shared" si="4"/>
        <v>0</v>
      </c>
    </row>
    <row r="172">
      <c r="A172" s="2" t="str">
        <f>IFERROR(__xludf.DUMMYFUNCTION("""COMPUTED_VALUE"""),"examples/random/dense_10000_1_1")</f>
        <v>examples/random/dense_10000_1_1</v>
      </c>
      <c r="B172" s="4">
        <f>IFERROR(__xludf.DUMMYFUNCTION("""COMPUTED_VALUE"""),1010257.0)</f>
        <v>1010257</v>
      </c>
      <c r="C172" s="4">
        <f>IFERROR(__xludf.DUMMYFUNCTION("""COMPUTED_VALUE"""),60.0)</f>
        <v>60</v>
      </c>
      <c r="D172" s="4">
        <f>IFERROR(__xludf.DUMMYFUNCTION("""COMPUTED_VALUE"""),60000.0)</f>
        <v>60000</v>
      </c>
      <c r="E172" s="4">
        <f>IFERROR(__xludf.DUMMYFUNCTION("""COMPUTED_VALUE"""),60000.0)</f>
        <v>60000</v>
      </c>
      <c r="F172" s="4">
        <f>IFERROR(__xludf.DUMMYFUNCTION("""COMPUTED_VALUE"""),60000.0)</f>
        <v>60000</v>
      </c>
      <c r="G172" s="4">
        <f>IFERROR(__xludf.DUMMYFUNCTION("""COMPUTED_VALUE"""),360.0)</f>
        <v>360</v>
      </c>
      <c r="H172" s="4">
        <f>IFERROR(__xludf.DUMMYFUNCTION("""COMPUTED_VALUE"""),222.0)</f>
        <v>222</v>
      </c>
      <c r="I172" s="2" t="str">
        <f>IFERROR(__xludf.DUMMYFUNCTION("""COMPUTED_VALUE"""),"random")</f>
        <v>random</v>
      </c>
      <c r="J172" s="2">
        <f t="shared" si="2"/>
        <v>18</v>
      </c>
      <c r="K172" s="2">
        <f t="shared" si="3"/>
        <v>1000000</v>
      </c>
      <c r="L172" s="2" t="str">
        <f t="shared" si="4"/>
        <v>P</v>
      </c>
    </row>
    <row r="173">
      <c r="A173" s="2" t="str">
        <f>IFERROR(__xludf.DUMMYFUNCTION("""COMPUTED_VALUE"""),"examples/random/sparse_100000_2_5")</f>
        <v>examples/random/sparse_100000_2_5</v>
      </c>
      <c r="B173" s="4">
        <f>IFERROR(__xludf.DUMMYFUNCTION("""COMPUTED_VALUE"""),300000.0)</f>
        <v>300000</v>
      </c>
      <c r="C173" s="4">
        <f>IFERROR(__xludf.DUMMYFUNCTION("""COMPUTED_VALUE"""),60.0)</f>
        <v>60</v>
      </c>
      <c r="D173" s="4">
        <f>IFERROR(__xludf.DUMMYFUNCTION("""COMPUTED_VALUE"""),60000.0)</f>
        <v>60000</v>
      </c>
      <c r="E173" s="4">
        <f>IFERROR(__xludf.DUMMYFUNCTION("""COMPUTED_VALUE"""),60000.0)</f>
        <v>60000</v>
      </c>
      <c r="F173" s="4">
        <f>IFERROR(__xludf.DUMMYFUNCTION("""COMPUTED_VALUE"""),60000.0)</f>
        <v>60000</v>
      </c>
      <c r="G173" s="4">
        <f>IFERROR(__xludf.DUMMYFUNCTION("""COMPUTED_VALUE"""),1202.0)</f>
        <v>1202</v>
      </c>
      <c r="H173" s="4">
        <f>IFERROR(__xludf.DUMMYFUNCTION("""COMPUTED_VALUE"""),249.0)</f>
        <v>249</v>
      </c>
      <c r="I173" s="2" t="str">
        <f>IFERROR(__xludf.DUMMYFUNCTION("""COMPUTED_VALUE"""),"random")</f>
        <v>random</v>
      </c>
      <c r="J173" s="2">
        <f t="shared" si="2"/>
        <v>16</v>
      </c>
      <c r="K173" s="2">
        <f t="shared" si="3"/>
        <v>200000</v>
      </c>
      <c r="L173" s="2" t="str">
        <f t="shared" si="4"/>
        <v>P</v>
      </c>
    </row>
    <row r="174">
      <c r="A174" s="2" t="str">
        <f>IFERROR(__xludf.DUMMYFUNCTION("""COMPUTED_VALUE"""),"examples/random/dense_300_1_3")</f>
        <v>examples/random/dense_300_1_3</v>
      </c>
      <c r="B174" s="4">
        <f>IFERROR(__xludf.DUMMYFUNCTION("""COMPUTED_VALUE"""),1236.0)</f>
        <v>1236</v>
      </c>
      <c r="C174" s="4">
        <f>IFERROR(__xludf.DUMMYFUNCTION("""COMPUTED_VALUE"""),60.0)</f>
        <v>60</v>
      </c>
      <c r="D174" s="4">
        <f>IFERROR(__xludf.DUMMYFUNCTION("""COMPUTED_VALUE"""),302.0)</f>
        <v>302</v>
      </c>
      <c r="E174" s="4">
        <f>IFERROR(__xludf.DUMMYFUNCTION("""COMPUTED_VALUE"""),3.0)</f>
        <v>3</v>
      </c>
      <c r="F174" s="4">
        <f>IFERROR(__xludf.DUMMYFUNCTION("""COMPUTED_VALUE"""),5.0)</f>
        <v>5</v>
      </c>
      <c r="G174" s="4">
        <f>IFERROR(__xludf.DUMMYFUNCTION("""COMPUTED_VALUE"""),2.0)</f>
        <v>2</v>
      </c>
      <c r="H174" s="4">
        <f>IFERROR(__xludf.DUMMYFUNCTION("""COMPUTED_VALUE"""),0.0)</f>
        <v>0</v>
      </c>
      <c r="I174" s="2" t="str">
        <f>IFERROR(__xludf.DUMMYFUNCTION("""COMPUTED_VALUE"""),"random")</f>
        <v>random</v>
      </c>
      <c r="J174" s="2">
        <f t="shared" si="2"/>
        <v>9</v>
      </c>
      <c r="K174" s="2">
        <f t="shared" si="3"/>
        <v>1000</v>
      </c>
      <c r="L174" s="2" t="str">
        <f t="shared" si="4"/>
        <v>P</v>
      </c>
    </row>
    <row r="175">
      <c r="A175" s="2" t="str">
        <f>IFERROR(__xludf.DUMMYFUNCTION("""COMPUTED_VALUE"""),"examples/random/dense_100_3_10")</f>
        <v>examples/random/dense_100_3_10</v>
      </c>
      <c r="B175" s="4">
        <f>IFERROR(__xludf.DUMMYFUNCTION("""COMPUTED_VALUE"""),407.0)</f>
        <v>407</v>
      </c>
      <c r="C175" s="4">
        <f>IFERROR(__xludf.DUMMYFUNCTION("""COMPUTED_VALUE"""),60.0)</f>
        <v>60</v>
      </c>
      <c r="D175" s="4">
        <f>IFERROR(__xludf.DUMMYFUNCTION("""COMPUTED_VALUE"""),13.0)</f>
        <v>13</v>
      </c>
      <c r="E175" s="4">
        <f>IFERROR(__xludf.DUMMYFUNCTION("""COMPUTED_VALUE"""),0.0)</f>
        <v>0</v>
      </c>
      <c r="F175" s="4">
        <f>IFERROR(__xludf.DUMMYFUNCTION("""COMPUTED_VALUE"""),0.0)</f>
        <v>0</v>
      </c>
      <c r="G175" s="4">
        <f>IFERROR(__xludf.DUMMYFUNCTION("""COMPUTED_VALUE"""),0.0)</f>
        <v>0</v>
      </c>
      <c r="H175" s="4">
        <f>IFERROR(__xludf.DUMMYFUNCTION("""COMPUTED_VALUE"""),0.0)</f>
        <v>0</v>
      </c>
      <c r="I175" s="2" t="str">
        <f>IFERROR(__xludf.DUMMYFUNCTION("""COMPUTED_VALUE"""),"random")</f>
        <v>random</v>
      </c>
      <c r="J175" s="2">
        <f t="shared" si="2"/>
        <v>8</v>
      </c>
      <c r="K175" s="2">
        <f t="shared" si="3"/>
        <v>500</v>
      </c>
      <c r="L175" s="2">
        <f t="shared" si="4"/>
        <v>0</v>
      </c>
    </row>
    <row r="176">
      <c r="A176" s="2" t="str">
        <f>IFERROR(__xludf.DUMMYFUNCTION("""COMPUTED_VALUE"""),"examples/random/sparse_1000_2_1")</f>
        <v>examples/random/sparse_1000_2_1</v>
      </c>
      <c r="B176" s="4">
        <f>IFERROR(__xludf.DUMMYFUNCTION("""COMPUTED_VALUE"""),3000.0)</f>
        <v>3000</v>
      </c>
      <c r="C176" s="4">
        <f>IFERROR(__xludf.DUMMYFUNCTION("""COMPUTED_VALUE"""),60.0)</f>
        <v>60</v>
      </c>
      <c r="D176" s="4">
        <f>IFERROR(__xludf.DUMMYFUNCTION("""COMPUTED_VALUE"""),5112.0)</f>
        <v>5112</v>
      </c>
      <c r="E176" s="4">
        <f>IFERROR(__xludf.DUMMYFUNCTION("""COMPUTED_VALUE"""),14.0)</f>
        <v>14</v>
      </c>
      <c r="F176" s="4">
        <f>IFERROR(__xludf.DUMMYFUNCTION("""COMPUTED_VALUE"""),23.0)</f>
        <v>23</v>
      </c>
      <c r="G176" s="4">
        <f>IFERROR(__xludf.DUMMYFUNCTION("""COMPUTED_VALUE"""),8.0)</f>
        <v>8</v>
      </c>
      <c r="H176" s="4">
        <f>IFERROR(__xludf.DUMMYFUNCTION("""COMPUTED_VALUE"""),1.0)</f>
        <v>1</v>
      </c>
      <c r="I176" s="2" t="str">
        <f>IFERROR(__xludf.DUMMYFUNCTION("""COMPUTED_VALUE"""),"random")</f>
        <v>random</v>
      </c>
      <c r="J176" s="2">
        <f t="shared" si="2"/>
        <v>10</v>
      </c>
      <c r="K176" s="2">
        <f t="shared" si="3"/>
        <v>2000</v>
      </c>
      <c r="L176" s="2" t="str">
        <f t="shared" si="4"/>
        <v>P</v>
      </c>
    </row>
    <row r="177">
      <c r="A177" s="2" t="str">
        <f>IFERROR(__xludf.DUMMYFUNCTION("""COMPUTED_VALUE"""),"examples/random/sparse_3000_10_4")</f>
        <v>examples/random/sparse_3000_10_4</v>
      </c>
      <c r="B177" s="4">
        <f>IFERROR(__xludf.DUMMYFUNCTION("""COMPUTED_VALUE"""),33000.0)</f>
        <v>33000</v>
      </c>
      <c r="C177" s="4">
        <f>IFERROR(__xludf.DUMMYFUNCTION("""COMPUTED_VALUE"""),60.0)</f>
        <v>60</v>
      </c>
      <c r="D177" s="4">
        <f>IFERROR(__xludf.DUMMYFUNCTION("""COMPUTED_VALUE"""),60000.0)</f>
        <v>60000</v>
      </c>
      <c r="E177" s="4">
        <f>IFERROR(__xludf.DUMMYFUNCTION("""COMPUTED_VALUE"""),1368.0)</f>
        <v>1368</v>
      </c>
      <c r="F177" s="4">
        <f>IFERROR(__xludf.DUMMYFUNCTION("""COMPUTED_VALUE"""),1969.0)</f>
        <v>1969</v>
      </c>
      <c r="G177" s="4">
        <f>IFERROR(__xludf.DUMMYFUNCTION("""COMPUTED_VALUE"""),29.0)</f>
        <v>29</v>
      </c>
      <c r="H177" s="4">
        <f>IFERROR(__xludf.DUMMYFUNCTION("""COMPUTED_VALUE"""),10.0)</f>
        <v>10</v>
      </c>
      <c r="I177" s="2" t="str">
        <f>IFERROR(__xludf.DUMMYFUNCTION("""COMPUTED_VALUE"""),"random")</f>
        <v>random</v>
      </c>
      <c r="J177" s="2">
        <f t="shared" si="2"/>
        <v>14</v>
      </c>
      <c r="K177" s="2">
        <f t="shared" si="3"/>
        <v>50000</v>
      </c>
      <c r="L177" s="2" t="str">
        <f t="shared" si="4"/>
        <v>P</v>
      </c>
    </row>
    <row r="178">
      <c r="A178" s="2" t="str">
        <f>IFERROR(__xludf.DUMMYFUNCTION("""COMPUTED_VALUE"""),"examples/random/sparse_100000_1_1")</f>
        <v>examples/random/sparse_100000_1_1</v>
      </c>
      <c r="B178" s="4">
        <f>IFERROR(__xludf.DUMMYFUNCTION("""COMPUTED_VALUE"""),200000.0)</f>
        <v>200000</v>
      </c>
      <c r="C178" s="4">
        <f>IFERROR(__xludf.DUMMYFUNCTION("""COMPUTED_VALUE"""),60.0)</f>
        <v>60</v>
      </c>
      <c r="D178" s="4">
        <f>IFERROR(__xludf.DUMMYFUNCTION("""COMPUTED_VALUE"""),60000.0)</f>
        <v>60000</v>
      </c>
      <c r="E178" s="4">
        <f>IFERROR(__xludf.DUMMYFUNCTION("""COMPUTED_VALUE"""),313.0)</f>
        <v>313</v>
      </c>
      <c r="F178" s="4">
        <f>IFERROR(__xludf.DUMMYFUNCTION("""COMPUTED_VALUE"""),286.0)</f>
        <v>286</v>
      </c>
      <c r="G178" s="4">
        <f>IFERROR(__xludf.DUMMYFUNCTION("""COMPUTED_VALUE"""),1538.0)</f>
        <v>1538</v>
      </c>
      <c r="H178" s="4">
        <f>IFERROR(__xludf.DUMMYFUNCTION("""COMPUTED_VALUE"""),201.0)</f>
        <v>201</v>
      </c>
      <c r="I178" s="2" t="str">
        <f>IFERROR(__xludf.DUMMYFUNCTION("""COMPUTED_VALUE"""),"random")</f>
        <v>random</v>
      </c>
      <c r="J178" s="2">
        <f t="shared" si="2"/>
        <v>16</v>
      </c>
      <c r="K178" s="2">
        <f t="shared" si="3"/>
        <v>200000</v>
      </c>
      <c r="L178" s="2" t="str">
        <f t="shared" si="4"/>
        <v>P</v>
      </c>
    </row>
    <row r="179">
      <c r="A179" s="2" t="str">
        <f>IFERROR(__xludf.DUMMYFUNCTION("""COMPUTED_VALUE"""),"examples/random/dense_300_2_7")</f>
        <v>examples/random/dense_300_2_7</v>
      </c>
      <c r="B179" s="4">
        <f>IFERROR(__xludf.DUMMYFUNCTION("""COMPUTED_VALUE"""),2037.0)</f>
        <v>2037</v>
      </c>
      <c r="C179" s="4">
        <f>IFERROR(__xludf.DUMMYFUNCTION("""COMPUTED_VALUE"""),60.0)</f>
        <v>60</v>
      </c>
      <c r="D179" s="4">
        <f>IFERROR(__xludf.DUMMYFUNCTION("""COMPUTED_VALUE"""),808.0)</f>
        <v>808</v>
      </c>
      <c r="E179" s="4">
        <f>IFERROR(__xludf.DUMMYFUNCTION("""COMPUTED_VALUE"""),7.0)</f>
        <v>7</v>
      </c>
      <c r="F179" s="4">
        <f>IFERROR(__xludf.DUMMYFUNCTION("""COMPUTED_VALUE"""),10.0)</f>
        <v>10</v>
      </c>
      <c r="G179" s="4">
        <f>IFERROR(__xludf.DUMMYFUNCTION("""COMPUTED_VALUE"""),2.0)</f>
        <v>2</v>
      </c>
      <c r="H179" s="4">
        <f>IFERROR(__xludf.DUMMYFUNCTION("""COMPUTED_VALUE"""),0.0)</f>
        <v>0</v>
      </c>
      <c r="I179" s="2" t="str">
        <f>IFERROR(__xludf.DUMMYFUNCTION("""COMPUTED_VALUE"""),"random")</f>
        <v>random</v>
      </c>
      <c r="J179" s="2">
        <f t="shared" si="2"/>
        <v>10</v>
      </c>
      <c r="K179" s="2">
        <f t="shared" si="3"/>
        <v>2000</v>
      </c>
      <c r="L179" s="2" t="str">
        <f t="shared" si="4"/>
        <v>P</v>
      </c>
    </row>
    <row r="180">
      <c r="A180" s="2" t="str">
        <f>IFERROR(__xludf.DUMMYFUNCTION("""COMPUTED_VALUE"""),"examples/random/sparse_1000_1_5")</f>
        <v>examples/random/sparse_1000_1_5</v>
      </c>
      <c r="B180" s="4">
        <f>IFERROR(__xludf.DUMMYFUNCTION("""COMPUTED_VALUE"""),2000.0)</f>
        <v>2000</v>
      </c>
      <c r="C180" s="4">
        <f>IFERROR(__xludf.DUMMYFUNCTION("""COMPUTED_VALUE"""),60.0)</f>
        <v>60</v>
      </c>
      <c r="D180" s="4">
        <f>IFERROR(__xludf.DUMMYFUNCTION("""COMPUTED_VALUE"""),164.0)</f>
        <v>164</v>
      </c>
      <c r="E180" s="4">
        <f>IFERROR(__xludf.DUMMYFUNCTION("""COMPUTED_VALUE"""),2.0)</f>
        <v>2</v>
      </c>
      <c r="F180" s="4">
        <f>IFERROR(__xludf.DUMMYFUNCTION("""COMPUTED_VALUE"""),1.0)</f>
        <v>1</v>
      </c>
      <c r="G180" s="4">
        <f>IFERROR(__xludf.DUMMYFUNCTION("""COMPUTED_VALUE"""),10.0)</f>
        <v>10</v>
      </c>
      <c r="H180" s="4">
        <f>IFERROR(__xludf.DUMMYFUNCTION("""COMPUTED_VALUE"""),1.0)</f>
        <v>1</v>
      </c>
      <c r="I180" s="2" t="str">
        <f>IFERROR(__xludf.DUMMYFUNCTION("""COMPUTED_VALUE"""),"random")</f>
        <v>random</v>
      </c>
      <c r="J180" s="2">
        <f t="shared" si="2"/>
        <v>10</v>
      </c>
      <c r="K180" s="2">
        <f t="shared" si="3"/>
        <v>2000</v>
      </c>
      <c r="L180" s="2" t="str">
        <f t="shared" si="4"/>
        <v>BP</v>
      </c>
    </row>
    <row r="181">
      <c r="A181" s="2" t="str">
        <f>IFERROR(__xludf.DUMMYFUNCTION("""COMPUTED_VALUE"""),"examples/random/dense_10000_2_5")</f>
        <v>examples/random/dense_10000_2_5</v>
      </c>
      <c r="B181" s="4">
        <f>IFERROR(__xludf.DUMMYFUNCTION("""COMPUTED_VALUE"""),2010660.0)</f>
        <v>2010660</v>
      </c>
      <c r="C181" s="4">
        <f>IFERROR(__xludf.DUMMYFUNCTION("""COMPUTED_VALUE"""),60.0)</f>
        <v>60</v>
      </c>
      <c r="D181" s="4">
        <f>IFERROR(__xludf.DUMMYFUNCTION("""COMPUTED_VALUE"""),60000.0)</f>
        <v>60000</v>
      </c>
      <c r="E181" s="4">
        <f>IFERROR(__xludf.DUMMYFUNCTION("""COMPUTED_VALUE"""),60000.0)</f>
        <v>60000</v>
      </c>
      <c r="F181" s="4">
        <f>IFERROR(__xludf.DUMMYFUNCTION("""COMPUTED_VALUE"""),60000.0)</f>
        <v>60000</v>
      </c>
      <c r="G181" s="4">
        <f>IFERROR(__xludf.DUMMYFUNCTION("""COMPUTED_VALUE"""),638.0)</f>
        <v>638</v>
      </c>
      <c r="H181" s="4">
        <f>IFERROR(__xludf.DUMMYFUNCTION("""COMPUTED_VALUE"""),440.0)</f>
        <v>440</v>
      </c>
      <c r="I181" s="2" t="str">
        <f>IFERROR(__xludf.DUMMYFUNCTION("""COMPUTED_VALUE"""),"random")</f>
        <v>random</v>
      </c>
      <c r="J181" s="2">
        <f t="shared" si="2"/>
        <v>19</v>
      </c>
      <c r="K181" s="2">
        <f t="shared" si="3"/>
        <v>2000000</v>
      </c>
      <c r="L181" s="2" t="str">
        <f t="shared" si="4"/>
        <v>P</v>
      </c>
    </row>
    <row r="182">
      <c r="A182" s="2" t="str">
        <f>IFERROR(__xludf.DUMMYFUNCTION("""COMPUTED_VALUE"""),"examples/random/sparse_10000_3_9")</f>
        <v>examples/random/sparse_10000_3_9</v>
      </c>
      <c r="B182" s="4">
        <f>IFERROR(__xludf.DUMMYFUNCTION("""COMPUTED_VALUE"""),40000.0)</f>
        <v>40000</v>
      </c>
      <c r="C182" s="4">
        <f>IFERROR(__xludf.DUMMYFUNCTION("""COMPUTED_VALUE"""),60.0)</f>
        <v>60</v>
      </c>
      <c r="D182" s="4">
        <f>IFERROR(__xludf.DUMMYFUNCTION("""COMPUTED_VALUE"""),60000.0)</f>
        <v>60000</v>
      </c>
      <c r="E182" s="4">
        <f>IFERROR(__xludf.DUMMYFUNCTION("""COMPUTED_VALUE"""),3301.0)</f>
        <v>3301</v>
      </c>
      <c r="F182" s="4">
        <f>IFERROR(__xludf.DUMMYFUNCTION("""COMPUTED_VALUE"""),5634.0)</f>
        <v>5634</v>
      </c>
      <c r="G182" s="4">
        <f>IFERROR(__xludf.DUMMYFUNCTION("""COMPUTED_VALUE"""),86.0)</f>
        <v>86</v>
      </c>
      <c r="H182" s="4">
        <f>IFERROR(__xludf.DUMMYFUNCTION("""COMPUTED_VALUE"""),21.0)</f>
        <v>21</v>
      </c>
      <c r="I182" s="2" t="str">
        <f>IFERROR(__xludf.DUMMYFUNCTION("""COMPUTED_VALUE"""),"random")</f>
        <v>random</v>
      </c>
      <c r="J182" s="2">
        <f t="shared" si="2"/>
        <v>14</v>
      </c>
      <c r="K182" s="2">
        <f t="shared" si="3"/>
        <v>50000</v>
      </c>
      <c r="L182" s="2" t="str">
        <f t="shared" si="4"/>
        <v>P</v>
      </c>
    </row>
    <row r="183">
      <c r="A183" s="2" t="str">
        <f>IFERROR(__xludf.DUMMYFUNCTION("""COMPUTED_VALUE"""),"examples/random/sparse_10000_1_7")</f>
        <v>examples/random/sparse_10000_1_7</v>
      </c>
      <c r="B183" s="4">
        <f>IFERROR(__xludf.DUMMYFUNCTION("""COMPUTED_VALUE"""),20000.0)</f>
        <v>20000</v>
      </c>
      <c r="C183" s="4">
        <f>IFERROR(__xludf.DUMMYFUNCTION("""COMPUTED_VALUE"""),60.0)</f>
        <v>60</v>
      </c>
      <c r="D183" s="4">
        <f>IFERROR(__xludf.DUMMYFUNCTION("""COMPUTED_VALUE"""),17678.0)</f>
        <v>17678</v>
      </c>
      <c r="E183" s="4">
        <f>IFERROR(__xludf.DUMMYFUNCTION("""COMPUTED_VALUE"""),22.0)</f>
        <v>22</v>
      </c>
      <c r="F183" s="4">
        <f>IFERROR(__xludf.DUMMYFUNCTION("""COMPUTED_VALUE"""),20.0)</f>
        <v>20</v>
      </c>
      <c r="G183" s="4">
        <f>IFERROR(__xludf.DUMMYFUNCTION("""COMPUTED_VALUE"""),107.0)</f>
        <v>107</v>
      </c>
      <c r="H183" s="4">
        <f>IFERROR(__xludf.DUMMYFUNCTION("""COMPUTED_VALUE"""),15.0)</f>
        <v>15</v>
      </c>
      <c r="I183" s="2" t="str">
        <f>IFERROR(__xludf.DUMMYFUNCTION("""COMPUTED_VALUE"""),"random")</f>
        <v>random</v>
      </c>
      <c r="J183" s="2">
        <f t="shared" si="2"/>
        <v>13</v>
      </c>
      <c r="K183" s="2">
        <f t="shared" si="3"/>
        <v>20000</v>
      </c>
      <c r="L183" s="2" t="str">
        <f t="shared" si="4"/>
        <v>P</v>
      </c>
    </row>
    <row r="184">
      <c r="A184" s="2" t="str">
        <f>IFERROR(__xludf.DUMMYFUNCTION("""COMPUTED_VALUE"""),"examples/random/sparse_30000_10_1")</f>
        <v>examples/random/sparse_30000_10_1</v>
      </c>
      <c r="B184" s="4">
        <f>IFERROR(__xludf.DUMMYFUNCTION("""COMPUTED_VALUE"""),330000.0)</f>
        <v>330000</v>
      </c>
      <c r="C184" s="4">
        <f>IFERROR(__xludf.DUMMYFUNCTION("""COMPUTED_VALUE"""),60.0)</f>
        <v>60</v>
      </c>
      <c r="D184" s="4">
        <f>IFERROR(__xludf.DUMMYFUNCTION("""COMPUTED_VALUE"""),60000.0)</f>
        <v>60000</v>
      </c>
      <c r="E184" s="4">
        <f>IFERROR(__xludf.DUMMYFUNCTION("""COMPUTED_VALUE"""),60000.0)</f>
        <v>60000</v>
      </c>
      <c r="F184" s="4">
        <f>IFERROR(__xludf.DUMMYFUNCTION("""COMPUTED_VALUE"""),60000.0)</f>
        <v>60000</v>
      </c>
      <c r="G184" s="4">
        <f>IFERROR(__xludf.DUMMYFUNCTION("""COMPUTED_VALUE"""),376.0)</f>
        <v>376</v>
      </c>
      <c r="H184" s="4">
        <f>IFERROR(__xludf.DUMMYFUNCTION("""COMPUTED_VALUE"""),122.0)</f>
        <v>122</v>
      </c>
      <c r="I184" s="2" t="str">
        <f>IFERROR(__xludf.DUMMYFUNCTION("""COMPUTED_VALUE"""),"random")</f>
        <v>random</v>
      </c>
      <c r="J184" s="2">
        <f t="shared" si="2"/>
        <v>17</v>
      </c>
      <c r="K184" s="2">
        <f t="shared" si="3"/>
        <v>500000</v>
      </c>
      <c r="L184" s="2" t="str">
        <f t="shared" si="4"/>
        <v>P</v>
      </c>
    </row>
    <row r="185">
      <c r="A185" s="2" t="str">
        <f>IFERROR(__xludf.DUMMYFUNCTION("""COMPUTED_VALUE"""),"examples/random/sparse_100_10_2")</f>
        <v>examples/random/sparse_100_10_2</v>
      </c>
      <c r="B185" s="4">
        <f>IFERROR(__xludf.DUMMYFUNCTION("""COMPUTED_VALUE"""),1100.0)</f>
        <v>1100</v>
      </c>
      <c r="C185" s="4">
        <f>IFERROR(__xludf.DUMMYFUNCTION("""COMPUTED_VALUE"""),60.0)</f>
        <v>60</v>
      </c>
      <c r="D185" s="4">
        <f>IFERROR(__xludf.DUMMYFUNCTION("""COMPUTED_VALUE"""),53.0)</f>
        <v>53</v>
      </c>
      <c r="E185" s="4">
        <f>IFERROR(__xludf.DUMMYFUNCTION("""COMPUTED_VALUE"""),1.0)</f>
        <v>1</v>
      </c>
      <c r="F185" s="4">
        <f>IFERROR(__xludf.DUMMYFUNCTION("""COMPUTED_VALUE"""),2.0)</f>
        <v>2</v>
      </c>
      <c r="G185" s="4">
        <f>IFERROR(__xludf.DUMMYFUNCTION("""COMPUTED_VALUE"""),0.0)</f>
        <v>0</v>
      </c>
      <c r="H185" s="4">
        <f>IFERROR(__xludf.DUMMYFUNCTION("""COMPUTED_VALUE"""),0.0)</f>
        <v>0</v>
      </c>
      <c r="I185" s="2" t="str">
        <f>IFERROR(__xludf.DUMMYFUNCTION("""COMPUTED_VALUE"""),"random")</f>
        <v>random</v>
      </c>
      <c r="J185" s="2">
        <f t="shared" si="2"/>
        <v>9</v>
      </c>
      <c r="K185" s="2">
        <f t="shared" si="3"/>
        <v>1000</v>
      </c>
      <c r="L185" s="2" t="str">
        <f t="shared" si="4"/>
        <v>JP</v>
      </c>
    </row>
    <row r="186">
      <c r="A186" s="2" t="str">
        <f>IFERROR(__xludf.DUMMYFUNCTION("""COMPUTED_VALUE"""),"examples/random/sparse_10000_10_6")</f>
        <v>examples/random/sparse_10000_10_6</v>
      </c>
      <c r="B186" s="4">
        <f>IFERROR(__xludf.DUMMYFUNCTION("""COMPUTED_VALUE"""),110000.0)</f>
        <v>110000</v>
      </c>
      <c r="C186" s="4">
        <f>IFERROR(__xludf.DUMMYFUNCTION("""COMPUTED_VALUE"""),60.0)</f>
        <v>60</v>
      </c>
      <c r="D186" s="4">
        <f>IFERROR(__xludf.DUMMYFUNCTION("""COMPUTED_VALUE"""),60000.0)</f>
        <v>60000</v>
      </c>
      <c r="E186" s="4">
        <f>IFERROR(__xludf.DUMMYFUNCTION("""COMPUTED_VALUE"""),16138.0)</f>
        <v>16138</v>
      </c>
      <c r="F186" s="4">
        <f>IFERROR(__xludf.DUMMYFUNCTION("""COMPUTED_VALUE"""),22960.0)</f>
        <v>22960</v>
      </c>
      <c r="G186" s="4">
        <f>IFERROR(__xludf.DUMMYFUNCTION("""COMPUTED_VALUE"""),103.0)</f>
        <v>103</v>
      </c>
      <c r="H186" s="4">
        <f>IFERROR(__xludf.DUMMYFUNCTION("""COMPUTED_VALUE"""),34.0)</f>
        <v>34</v>
      </c>
      <c r="I186" s="2" t="str">
        <f>IFERROR(__xludf.DUMMYFUNCTION("""COMPUTED_VALUE"""),"random")</f>
        <v>random</v>
      </c>
      <c r="J186" s="2">
        <f t="shared" si="2"/>
        <v>15</v>
      </c>
      <c r="K186" s="2">
        <f t="shared" si="3"/>
        <v>100000</v>
      </c>
      <c r="L186" s="2" t="str">
        <f t="shared" si="4"/>
        <v>P</v>
      </c>
    </row>
    <row r="187">
      <c r="A187" s="2" t="str">
        <f>IFERROR(__xludf.DUMMYFUNCTION("""COMPUTED_VALUE"""),"examples/random/dense_3000_1_5")</f>
        <v>examples/random/dense_3000_1_5</v>
      </c>
      <c r="B187" s="4">
        <f>IFERROR(__xludf.DUMMYFUNCTION("""COMPUTED_VALUE"""),92909.0)</f>
        <v>92909</v>
      </c>
      <c r="C187" s="4">
        <f>IFERROR(__xludf.DUMMYFUNCTION("""COMPUTED_VALUE"""),60.0)</f>
        <v>60</v>
      </c>
      <c r="D187" s="4">
        <f>IFERROR(__xludf.DUMMYFUNCTION("""COMPUTED_VALUE"""),60000.0)</f>
        <v>60000</v>
      </c>
      <c r="E187" s="4">
        <f>IFERROR(__xludf.DUMMYFUNCTION("""COMPUTED_VALUE"""),4225.0)</f>
        <v>4225</v>
      </c>
      <c r="F187" s="4">
        <f>IFERROR(__xludf.DUMMYFUNCTION("""COMPUTED_VALUE"""),6820.0)</f>
        <v>6820</v>
      </c>
      <c r="G187" s="4">
        <f>IFERROR(__xludf.DUMMYFUNCTION("""COMPUTED_VALUE"""),43.0)</f>
        <v>43</v>
      </c>
      <c r="H187" s="4">
        <f>IFERROR(__xludf.DUMMYFUNCTION("""COMPUTED_VALUE"""),20.0)</f>
        <v>20</v>
      </c>
      <c r="I187" s="2" t="str">
        <f>IFERROR(__xludf.DUMMYFUNCTION("""COMPUTED_VALUE"""),"random")</f>
        <v>random</v>
      </c>
      <c r="J187" s="2">
        <f t="shared" si="2"/>
        <v>15</v>
      </c>
      <c r="K187" s="2">
        <f t="shared" si="3"/>
        <v>100000</v>
      </c>
      <c r="L187" s="2" t="str">
        <f t="shared" si="4"/>
        <v>P</v>
      </c>
    </row>
    <row r="188">
      <c r="A188" s="2" t="str">
        <f>IFERROR(__xludf.DUMMYFUNCTION("""COMPUTED_VALUE"""),"examples/random/sparse_30000_1_3")</f>
        <v>examples/random/sparse_30000_1_3</v>
      </c>
      <c r="B188" s="4">
        <f>IFERROR(__xludf.DUMMYFUNCTION("""COMPUTED_VALUE"""),60000.0)</f>
        <v>60000</v>
      </c>
      <c r="C188" s="4">
        <f>IFERROR(__xludf.DUMMYFUNCTION("""COMPUTED_VALUE"""),60.0)</f>
        <v>60</v>
      </c>
      <c r="D188" s="4">
        <f>IFERROR(__xludf.DUMMYFUNCTION("""COMPUTED_VALUE"""),60000.0)</f>
        <v>60000</v>
      </c>
      <c r="E188" s="4">
        <f>IFERROR(__xludf.DUMMYFUNCTION("""COMPUTED_VALUE"""),79.0)</f>
        <v>79</v>
      </c>
      <c r="F188" s="4">
        <f>IFERROR(__xludf.DUMMYFUNCTION("""COMPUTED_VALUE"""),69.0)</f>
        <v>69</v>
      </c>
      <c r="G188" s="4">
        <f>IFERROR(__xludf.DUMMYFUNCTION("""COMPUTED_VALUE"""),402.0)</f>
        <v>402</v>
      </c>
      <c r="H188" s="4">
        <f>IFERROR(__xludf.DUMMYFUNCTION("""COMPUTED_VALUE"""),52.0)</f>
        <v>52</v>
      </c>
      <c r="I188" s="2" t="str">
        <f>IFERROR(__xludf.DUMMYFUNCTION("""COMPUTED_VALUE"""),"random")</f>
        <v>random</v>
      </c>
      <c r="J188" s="2">
        <f t="shared" si="2"/>
        <v>14</v>
      </c>
      <c r="K188" s="2">
        <f t="shared" si="3"/>
        <v>50000</v>
      </c>
      <c r="L188" s="2" t="str">
        <f t="shared" si="4"/>
        <v>P</v>
      </c>
    </row>
    <row r="189">
      <c r="A189" s="2" t="str">
        <f>IFERROR(__xludf.DUMMYFUNCTION("""COMPUTED_VALUE"""),"examples/random/sparse_300_2_4")</f>
        <v>examples/random/sparse_300_2_4</v>
      </c>
      <c r="B189" s="4">
        <f>IFERROR(__xludf.DUMMYFUNCTION("""COMPUTED_VALUE"""),900.0)</f>
        <v>900</v>
      </c>
      <c r="C189" s="4">
        <f>IFERROR(__xludf.DUMMYFUNCTION("""COMPUTED_VALUE"""),60.0)</f>
        <v>60</v>
      </c>
      <c r="D189" s="4">
        <f>IFERROR(__xludf.DUMMYFUNCTION("""COMPUTED_VALUE"""),134.0)</f>
        <v>134</v>
      </c>
      <c r="E189" s="4">
        <f>IFERROR(__xludf.DUMMYFUNCTION("""COMPUTED_VALUE"""),1.0)</f>
        <v>1</v>
      </c>
      <c r="F189" s="4">
        <f>IFERROR(__xludf.DUMMYFUNCTION("""COMPUTED_VALUE"""),2.0)</f>
        <v>2</v>
      </c>
      <c r="G189" s="4">
        <f>IFERROR(__xludf.DUMMYFUNCTION("""COMPUTED_VALUE"""),2.0)</f>
        <v>2</v>
      </c>
      <c r="H189" s="4">
        <f>IFERROR(__xludf.DUMMYFUNCTION("""COMPUTED_VALUE"""),0.0)</f>
        <v>0</v>
      </c>
      <c r="I189" s="2" t="str">
        <f>IFERROR(__xludf.DUMMYFUNCTION("""COMPUTED_VALUE"""),"random")</f>
        <v>random</v>
      </c>
      <c r="J189" s="2">
        <f t="shared" si="2"/>
        <v>9</v>
      </c>
      <c r="K189" s="2">
        <f t="shared" si="3"/>
        <v>1000</v>
      </c>
      <c r="L189" s="2" t="str">
        <f t="shared" si="4"/>
        <v>P</v>
      </c>
    </row>
    <row r="190">
      <c r="A190" s="2" t="str">
        <f>IFERROR(__xludf.DUMMYFUNCTION("""COMPUTED_VALUE"""),"examples/random/sparse_300_10_9")</f>
        <v>examples/random/sparse_300_10_9</v>
      </c>
      <c r="B190" s="4">
        <f>IFERROR(__xludf.DUMMYFUNCTION("""COMPUTED_VALUE"""),3300.0)</f>
        <v>3300</v>
      </c>
      <c r="C190" s="4">
        <f>IFERROR(__xludf.DUMMYFUNCTION("""COMPUTED_VALUE"""),60.0)</f>
        <v>60</v>
      </c>
      <c r="D190" s="4">
        <f>IFERROR(__xludf.DUMMYFUNCTION("""COMPUTED_VALUE"""),1295.0)</f>
        <v>1295</v>
      </c>
      <c r="E190" s="4">
        <f>IFERROR(__xludf.DUMMYFUNCTION("""COMPUTED_VALUE"""),13.0)</f>
        <v>13</v>
      </c>
      <c r="F190" s="4">
        <f>IFERROR(__xludf.DUMMYFUNCTION("""COMPUTED_VALUE"""),17.0)</f>
        <v>17</v>
      </c>
      <c r="G190" s="4">
        <f>IFERROR(__xludf.DUMMYFUNCTION("""COMPUTED_VALUE"""),3.0)</f>
        <v>3</v>
      </c>
      <c r="H190" s="4">
        <f>IFERROR(__xludf.DUMMYFUNCTION("""COMPUTED_VALUE"""),1.0)</f>
        <v>1</v>
      </c>
      <c r="I190" s="2" t="str">
        <f>IFERROR(__xludf.DUMMYFUNCTION("""COMPUTED_VALUE"""),"random")</f>
        <v>random</v>
      </c>
      <c r="J190" s="2">
        <f t="shared" si="2"/>
        <v>11</v>
      </c>
      <c r="K190" s="2">
        <f t="shared" si="3"/>
        <v>5000</v>
      </c>
      <c r="L190" s="2" t="str">
        <f t="shared" si="4"/>
        <v>P</v>
      </c>
    </row>
    <row r="191">
      <c r="A191" s="2" t="str">
        <f>IFERROR(__xludf.DUMMYFUNCTION("""COMPUTED_VALUE"""),"examples/random/sparse_300_3_10")</f>
        <v>examples/random/sparse_300_3_10</v>
      </c>
      <c r="B191" s="4">
        <f>IFERROR(__xludf.DUMMYFUNCTION("""COMPUTED_VALUE"""),1200.0)</f>
        <v>1200</v>
      </c>
      <c r="C191" s="4">
        <f>IFERROR(__xludf.DUMMYFUNCTION("""COMPUTED_VALUE"""),60.0)</f>
        <v>60</v>
      </c>
      <c r="D191" s="4">
        <f>IFERROR(__xludf.DUMMYFUNCTION("""COMPUTED_VALUE"""),325.0)</f>
        <v>325</v>
      </c>
      <c r="E191" s="4">
        <f>IFERROR(__xludf.DUMMYFUNCTION("""COMPUTED_VALUE"""),2.0)</f>
        <v>2</v>
      </c>
      <c r="F191" s="4">
        <f>IFERROR(__xludf.DUMMYFUNCTION("""COMPUTED_VALUE"""),5.0)</f>
        <v>5</v>
      </c>
      <c r="G191" s="4">
        <f>IFERROR(__xludf.DUMMYFUNCTION("""COMPUTED_VALUE"""),2.0)</f>
        <v>2</v>
      </c>
      <c r="H191" s="4">
        <f>IFERROR(__xludf.DUMMYFUNCTION("""COMPUTED_VALUE"""),0.0)</f>
        <v>0</v>
      </c>
      <c r="I191" s="2" t="str">
        <f>IFERROR(__xludf.DUMMYFUNCTION("""COMPUTED_VALUE"""),"random")</f>
        <v>random</v>
      </c>
      <c r="J191" s="2">
        <f t="shared" si="2"/>
        <v>9</v>
      </c>
      <c r="K191" s="2">
        <f t="shared" si="3"/>
        <v>1000</v>
      </c>
      <c r="L191" s="2" t="str">
        <f t="shared" si="4"/>
        <v>P</v>
      </c>
    </row>
    <row r="192">
      <c r="A192" s="2" t="str">
        <f>IFERROR(__xludf.DUMMYFUNCTION("""COMPUTED_VALUE"""),"examples/random/dense_3000_2_1")</f>
        <v>examples/random/dense_3000_2_1</v>
      </c>
      <c r="B192" s="4">
        <f>IFERROR(__xludf.DUMMYFUNCTION("""COMPUTED_VALUE"""),182487.0)</f>
        <v>182487</v>
      </c>
      <c r="C192" s="4">
        <f>IFERROR(__xludf.DUMMYFUNCTION("""COMPUTED_VALUE"""),60.0)</f>
        <v>60</v>
      </c>
      <c r="D192" s="4">
        <f>IFERROR(__xludf.DUMMYFUNCTION("""COMPUTED_VALUE"""),60000.0)</f>
        <v>60000</v>
      </c>
      <c r="E192" s="4">
        <f>IFERROR(__xludf.DUMMYFUNCTION("""COMPUTED_VALUE"""),8442.0)</f>
        <v>8442</v>
      </c>
      <c r="F192" s="4">
        <f>IFERROR(__xludf.DUMMYFUNCTION("""COMPUTED_VALUE"""),60000.0)</f>
        <v>60000</v>
      </c>
      <c r="G192" s="4">
        <f>IFERROR(__xludf.DUMMYFUNCTION("""COMPUTED_VALUE"""),137.0)</f>
        <v>137</v>
      </c>
      <c r="H192" s="4">
        <f>IFERROR(__xludf.DUMMYFUNCTION("""COMPUTED_VALUE"""),51.0)</f>
        <v>51</v>
      </c>
      <c r="I192" s="2" t="str">
        <f>IFERROR(__xludf.DUMMYFUNCTION("""COMPUTED_VALUE"""),"random")</f>
        <v>random</v>
      </c>
      <c r="J192" s="2">
        <f t="shared" si="2"/>
        <v>16</v>
      </c>
      <c r="K192" s="2">
        <f t="shared" si="3"/>
        <v>200000</v>
      </c>
      <c r="L192" s="2" t="str">
        <f t="shared" si="4"/>
        <v>P</v>
      </c>
    </row>
    <row r="193">
      <c r="A193" s="2" t="str">
        <f>IFERROR(__xludf.DUMMYFUNCTION("""COMPUTED_VALUE"""),"examples/random/sparse_30000_2_7")</f>
        <v>examples/random/sparse_30000_2_7</v>
      </c>
      <c r="B193" s="4">
        <f>IFERROR(__xludf.DUMMYFUNCTION("""COMPUTED_VALUE"""),90000.0)</f>
        <v>90000</v>
      </c>
      <c r="C193" s="4">
        <f>IFERROR(__xludf.DUMMYFUNCTION("""COMPUTED_VALUE"""),60.0)</f>
        <v>60</v>
      </c>
      <c r="D193" s="4">
        <f>IFERROR(__xludf.DUMMYFUNCTION("""COMPUTED_VALUE"""),60000.0)</f>
        <v>60000</v>
      </c>
      <c r="E193" s="4">
        <f>IFERROR(__xludf.DUMMYFUNCTION("""COMPUTED_VALUE"""),13524.0)</f>
        <v>13524</v>
      </c>
      <c r="F193" s="4">
        <f>IFERROR(__xludf.DUMMYFUNCTION("""COMPUTED_VALUE"""),24858.0)</f>
        <v>24858</v>
      </c>
      <c r="G193" s="4">
        <f>IFERROR(__xludf.DUMMYFUNCTION("""COMPUTED_VALUE"""),311.0)</f>
        <v>311</v>
      </c>
      <c r="H193" s="4">
        <f>IFERROR(__xludf.DUMMYFUNCTION("""COMPUTED_VALUE"""),67.0)</f>
        <v>67</v>
      </c>
      <c r="I193" s="2" t="str">
        <f>IFERROR(__xludf.DUMMYFUNCTION("""COMPUTED_VALUE"""),"random")</f>
        <v>random</v>
      </c>
      <c r="J193" s="2">
        <f t="shared" si="2"/>
        <v>15</v>
      </c>
      <c r="K193" s="2">
        <f t="shared" si="3"/>
        <v>100000</v>
      </c>
      <c r="L193" s="2" t="str">
        <f t="shared" si="4"/>
        <v>P</v>
      </c>
    </row>
    <row r="194">
      <c r="A194" s="2" t="str">
        <f>IFERROR(__xludf.DUMMYFUNCTION("""COMPUTED_VALUE"""),"examples/random/sparse_3000_2_10")</f>
        <v>examples/random/sparse_3000_2_10</v>
      </c>
      <c r="B194" s="4">
        <f>IFERROR(__xludf.DUMMYFUNCTION("""COMPUTED_VALUE"""),9000.0)</f>
        <v>9000</v>
      </c>
      <c r="C194" s="4">
        <f>IFERROR(__xludf.DUMMYFUNCTION("""COMPUTED_VALUE"""),60.0)</f>
        <v>60</v>
      </c>
      <c r="D194" s="4">
        <f>IFERROR(__xludf.DUMMYFUNCTION("""COMPUTED_VALUE"""),60000.0)</f>
        <v>60000</v>
      </c>
      <c r="E194" s="4">
        <f>IFERROR(__xludf.DUMMYFUNCTION("""COMPUTED_VALUE"""),127.0)</f>
        <v>127</v>
      </c>
      <c r="F194" s="4">
        <f>IFERROR(__xludf.DUMMYFUNCTION("""COMPUTED_VALUE"""),224.0)</f>
        <v>224</v>
      </c>
      <c r="G194" s="4">
        <f>IFERROR(__xludf.DUMMYFUNCTION("""COMPUTED_VALUE"""),24.0)</f>
        <v>24</v>
      </c>
      <c r="H194" s="4">
        <f>IFERROR(__xludf.DUMMYFUNCTION("""COMPUTED_VALUE"""),4.0)</f>
        <v>4</v>
      </c>
      <c r="I194" s="2" t="str">
        <f>IFERROR(__xludf.DUMMYFUNCTION("""COMPUTED_VALUE"""),"random")</f>
        <v>random</v>
      </c>
      <c r="J194" s="2">
        <f t="shared" si="2"/>
        <v>12</v>
      </c>
      <c r="K194" s="2">
        <f t="shared" si="3"/>
        <v>10000</v>
      </c>
      <c r="L194" s="2" t="str">
        <f t="shared" si="4"/>
        <v>P</v>
      </c>
    </row>
    <row r="195">
      <c r="A195" s="2" t="str">
        <f>IFERROR(__xludf.DUMMYFUNCTION("""COMPUTED_VALUE"""),"examples/random/sparse_100_3_3")</f>
        <v>examples/random/sparse_100_3_3</v>
      </c>
      <c r="B195" s="4">
        <f>IFERROR(__xludf.DUMMYFUNCTION("""COMPUTED_VALUE"""),400.0)</f>
        <v>400</v>
      </c>
      <c r="C195" s="4">
        <f>IFERROR(__xludf.DUMMYFUNCTION("""COMPUTED_VALUE"""),60.0)</f>
        <v>60</v>
      </c>
      <c r="D195" s="4">
        <f>IFERROR(__xludf.DUMMYFUNCTION("""COMPUTED_VALUE"""),15.0)</f>
        <v>15</v>
      </c>
      <c r="E195" s="4">
        <f>IFERROR(__xludf.DUMMYFUNCTION("""COMPUTED_VALUE"""),0.0)</f>
        <v>0</v>
      </c>
      <c r="F195" s="4">
        <f>IFERROR(__xludf.DUMMYFUNCTION("""COMPUTED_VALUE"""),0.0)</f>
        <v>0</v>
      </c>
      <c r="G195" s="4">
        <f>IFERROR(__xludf.DUMMYFUNCTION("""COMPUTED_VALUE"""),0.0)</f>
        <v>0</v>
      </c>
      <c r="H195" s="4">
        <f>IFERROR(__xludf.DUMMYFUNCTION("""COMPUTED_VALUE"""),0.0)</f>
        <v>0</v>
      </c>
      <c r="I195" s="2" t="str">
        <f>IFERROR(__xludf.DUMMYFUNCTION("""COMPUTED_VALUE"""),"random")</f>
        <v>random</v>
      </c>
      <c r="J195" s="2">
        <f t="shared" si="2"/>
        <v>8</v>
      </c>
      <c r="K195" s="2">
        <f t="shared" si="3"/>
        <v>500</v>
      </c>
      <c r="L195" s="2">
        <f t="shared" si="4"/>
        <v>0</v>
      </c>
    </row>
    <row r="196">
      <c r="A196" s="2" t="str">
        <f>IFERROR(__xludf.DUMMYFUNCTION("""COMPUTED_VALUE"""),"examples/random/sparse_10000_2_3")</f>
        <v>examples/random/sparse_10000_2_3</v>
      </c>
      <c r="B196" s="4">
        <f>IFERROR(__xludf.DUMMYFUNCTION("""COMPUTED_VALUE"""),30000.0)</f>
        <v>30000</v>
      </c>
      <c r="C196" s="4">
        <f>IFERROR(__xludf.DUMMYFUNCTION("""COMPUTED_VALUE"""),60.0)</f>
        <v>60</v>
      </c>
      <c r="D196" s="4">
        <f>IFERROR(__xludf.DUMMYFUNCTION("""COMPUTED_VALUE"""),60000.0)</f>
        <v>60000</v>
      </c>
      <c r="E196" s="4">
        <f>IFERROR(__xludf.DUMMYFUNCTION("""COMPUTED_VALUE"""),1407.0)</f>
        <v>1407</v>
      </c>
      <c r="F196" s="4">
        <f>IFERROR(__xludf.DUMMYFUNCTION("""COMPUTED_VALUE"""),2488.0)</f>
        <v>2488</v>
      </c>
      <c r="G196" s="4">
        <f>IFERROR(__xludf.DUMMYFUNCTION("""COMPUTED_VALUE"""),200.0)</f>
        <v>200</v>
      </c>
      <c r="H196" s="4">
        <f>IFERROR(__xludf.DUMMYFUNCTION("""COMPUTED_VALUE"""),22.0)</f>
        <v>22</v>
      </c>
      <c r="I196" s="2" t="str">
        <f>IFERROR(__xludf.DUMMYFUNCTION("""COMPUTED_VALUE"""),"random")</f>
        <v>random</v>
      </c>
      <c r="J196" s="2">
        <f t="shared" si="2"/>
        <v>13</v>
      </c>
      <c r="K196" s="2">
        <f t="shared" si="3"/>
        <v>20000</v>
      </c>
      <c r="L196" s="2" t="str">
        <f t="shared" si="4"/>
        <v>P</v>
      </c>
    </row>
    <row r="197">
      <c r="A197" s="2" t="str">
        <f>IFERROR(__xludf.DUMMYFUNCTION("""COMPUTED_VALUE"""),"examples/random/dense_10000_3_4")</f>
        <v>examples/random/dense_10000_3_4</v>
      </c>
      <c r="B197" s="4">
        <f>IFERROR(__xludf.DUMMYFUNCTION("""COMPUTED_VALUE"""),3009318.0)</f>
        <v>3009318</v>
      </c>
      <c r="C197" s="4">
        <f>IFERROR(__xludf.DUMMYFUNCTION("""COMPUTED_VALUE"""),60.0)</f>
        <v>60</v>
      </c>
      <c r="D197" s="4">
        <f>IFERROR(__xludf.DUMMYFUNCTION("""COMPUTED_VALUE"""),60000.0)</f>
        <v>60000</v>
      </c>
      <c r="E197" s="4">
        <f>IFERROR(__xludf.DUMMYFUNCTION("""COMPUTED_VALUE"""),60000.0)</f>
        <v>60000</v>
      </c>
      <c r="F197" s="4">
        <f>IFERROR(__xludf.DUMMYFUNCTION("""COMPUTED_VALUE"""),60000.0)</f>
        <v>60000</v>
      </c>
      <c r="G197" s="4">
        <f>IFERROR(__xludf.DUMMYFUNCTION("""COMPUTED_VALUE"""),975.0)</f>
        <v>975</v>
      </c>
      <c r="H197" s="4">
        <f>IFERROR(__xludf.DUMMYFUNCTION("""COMPUTED_VALUE"""),664.0)</f>
        <v>664</v>
      </c>
      <c r="I197" s="2" t="str">
        <f>IFERROR(__xludf.DUMMYFUNCTION("""COMPUTED_VALUE"""),"random")</f>
        <v>random</v>
      </c>
      <c r="J197" s="2">
        <f t="shared" si="2"/>
        <v>19</v>
      </c>
      <c r="K197" s="2">
        <f t="shared" si="3"/>
        <v>2000000</v>
      </c>
      <c r="L197" s="2" t="str">
        <f t="shared" si="4"/>
        <v>P</v>
      </c>
    </row>
    <row r="198">
      <c r="A198" s="2" t="str">
        <f>IFERROR(__xludf.DUMMYFUNCTION("""COMPUTED_VALUE"""),"examples/random/sparse_3000_1_5")</f>
        <v>examples/random/sparse_3000_1_5</v>
      </c>
      <c r="B198" s="4">
        <f>IFERROR(__xludf.DUMMYFUNCTION("""COMPUTED_VALUE"""),6000.0)</f>
        <v>6000</v>
      </c>
      <c r="C198" s="4">
        <f>IFERROR(__xludf.DUMMYFUNCTION("""COMPUTED_VALUE"""),60.0)</f>
        <v>60</v>
      </c>
      <c r="D198" s="4">
        <f>IFERROR(__xludf.DUMMYFUNCTION("""COMPUTED_VALUE"""),1521.0)</f>
        <v>1521</v>
      </c>
      <c r="E198" s="4">
        <f>IFERROR(__xludf.DUMMYFUNCTION("""COMPUTED_VALUE"""),6.0)</f>
        <v>6</v>
      </c>
      <c r="F198" s="4">
        <f>IFERROR(__xludf.DUMMYFUNCTION("""COMPUTED_VALUE"""),5.0)</f>
        <v>5</v>
      </c>
      <c r="G198" s="4">
        <f>IFERROR(__xludf.DUMMYFUNCTION("""COMPUTED_VALUE"""),30.0)</f>
        <v>30</v>
      </c>
      <c r="H198" s="4">
        <f>IFERROR(__xludf.DUMMYFUNCTION("""COMPUTED_VALUE"""),4.0)</f>
        <v>4</v>
      </c>
      <c r="I198" s="2" t="str">
        <f>IFERROR(__xludf.DUMMYFUNCTION("""COMPUTED_VALUE"""),"random")</f>
        <v>random</v>
      </c>
      <c r="J198" s="2">
        <f t="shared" si="2"/>
        <v>11</v>
      </c>
      <c r="K198" s="2">
        <f t="shared" si="3"/>
        <v>5000</v>
      </c>
      <c r="L198" s="2" t="str">
        <f t="shared" si="4"/>
        <v>P</v>
      </c>
    </row>
    <row r="199">
      <c r="A199" s="2" t="str">
        <f>IFERROR(__xludf.DUMMYFUNCTION("""COMPUTED_VALUE"""),"examples/random/dense_300_3_6")</f>
        <v>examples/random/dense_300_3_6</v>
      </c>
      <c r="B199" s="4">
        <f>IFERROR(__xludf.DUMMYFUNCTION("""COMPUTED_VALUE"""),3021.0)</f>
        <v>3021</v>
      </c>
      <c r="C199" s="4">
        <f>IFERROR(__xludf.DUMMYFUNCTION("""COMPUTED_VALUE"""),60.0)</f>
        <v>60</v>
      </c>
      <c r="D199" s="4">
        <f>IFERROR(__xludf.DUMMYFUNCTION("""COMPUTED_VALUE"""),1185.0)</f>
        <v>1185</v>
      </c>
      <c r="E199" s="4">
        <f>IFERROR(__xludf.DUMMYFUNCTION("""COMPUTED_VALUE"""),11.0)</f>
        <v>11</v>
      </c>
      <c r="F199" s="4">
        <f>IFERROR(__xludf.DUMMYFUNCTION("""COMPUTED_VALUE"""),15.0)</f>
        <v>15</v>
      </c>
      <c r="G199" s="4">
        <f>IFERROR(__xludf.DUMMYFUNCTION("""COMPUTED_VALUE"""),2.0)</f>
        <v>2</v>
      </c>
      <c r="H199" s="4">
        <f>IFERROR(__xludf.DUMMYFUNCTION("""COMPUTED_VALUE"""),0.0)</f>
        <v>0</v>
      </c>
      <c r="I199" s="2" t="str">
        <f>IFERROR(__xludf.DUMMYFUNCTION("""COMPUTED_VALUE"""),"random")</f>
        <v>random</v>
      </c>
      <c r="J199" s="2">
        <f t="shared" si="2"/>
        <v>10</v>
      </c>
      <c r="K199" s="2">
        <f t="shared" si="3"/>
        <v>2000</v>
      </c>
      <c r="L199" s="2" t="str">
        <f t="shared" si="4"/>
        <v>P</v>
      </c>
    </row>
    <row r="200">
      <c r="A200" s="2" t="str">
        <f>IFERROR(__xludf.DUMMYFUNCTION("""COMPUTED_VALUE"""),"examples/random/dense_300_1_8")</f>
        <v>examples/random/dense_300_1_8</v>
      </c>
      <c r="B200" s="4">
        <f>IFERROR(__xludf.DUMMYFUNCTION("""COMPUTED_VALUE"""),1195.0)</f>
        <v>1195</v>
      </c>
      <c r="C200" s="4">
        <f>IFERROR(__xludf.DUMMYFUNCTION("""COMPUTED_VALUE"""),60.0)</f>
        <v>60</v>
      </c>
      <c r="D200" s="4">
        <f>IFERROR(__xludf.DUMMYFUNCTION("""COMPUTED_VALUE"""),303.0)</f>
        <v>303</v>
      </c>
      <c r="E200" s="4">
        <f>IFERROR(__xludf.DUMMYFUNCTION("""COMPUTED_VALUE"""),3.0)</f>
        <v>3</v>
      </c>
      <c r="F200" s="4">
        <f>IFERROR(__xludf.DUMMYFUNCTION("""COMPUTED_VALUE"""),5.0)</f>
        <v>5</v>
      </c>
      <c r="G200" s="4">
        <f>IFERROR(__xludf.DUMMYFUNCTION("""COMPUTED_VALUE"""),1.0)</f>
        <v>1</v>
      </c>
      <c r="H200" s="4">
        <f>IFERROR(__xludf.DUMMYFUNCTION("""COMPUTED_VALUE"""),0.0)</f>
        <v>0</v>
      </c>
      <c r="I200" s="2" t="str">
        <f>IFERROR(__xludf.DUMMYFUNCTION("""COMPUTED_VALUE"""),"random")</f>
        <v>random</v>
      </c>
      <c r="J200" s="2">
        <f t="shared" si="2"/>
        <v>9</v>
      </c>
      <c r="K200" s="2">
        <f t="shared" si="3"/>
        <v>1000</v>
      </c>
      <c r="L200" s="2" t="str">
        <f t="shared" si="4"/>
        <v>P</v>
      </c>
    </row>
    <row r="201">
      <c r="A201" s="2" t="str">
        <f>IFERROR(__xludf.DUMMYFUNCTION("""COMPUTED_VALUE"""),"examples/random/sparse_3000_2_1")</f>
        <v>examples/random/sparse_3000_2_1</v>
      </c>
      <c r="B201" s="4">
        <f>IFERROR(__xludf.DUMMYFUNCTION("""COMPUTED_VALUE"""),9000.0)</f>
        <v>9000</v>
      </c>
      <c r="C201" s="4">
        <f>IFERROR(__xludf.DUMMYFUNCTION("""COMPUTED_VALUE"""),60.0)</f>
        <v>60</v>
      </c>
      <c r="D201" s="4">
        <f>IFERROR(__xludf.DUMMYFUNCTION("""COMPUTED_VALUE"""),60000.0)</f>
        <v>60000</v>
      </c>
      <c r="E201" s="4">
        <f>IFERROR(__xludf.DUMMYFUNCTION("""COMPUTED_VALUE"""),125.0)</f>
        <v>125</v>
      </c>
      <c r="F201" s="4">
        <f>IFERROR(__xludf.DUMMYFUNCTION("""COMPUTED_VALUE"""),225.0)</f>
        <v>225</v>
      </c>
      <c r="G201" s="4">
        <f>IFERROR(__xludf.DUMMYFUNCTION("""COMPUTED_VALUE"""),24.0)</f>
        <v>24</v>
      </c>
      <c r="H201" s="4">
        <f>IFERROR(__xludf.DUMMYFUNCTION("""COMPUTED_VALUE"""),4.0)</f>
        <v>4</v>
      </c>
      <c r="I201" s="2" t="str">
        <f>IFERROR(__xludf.DUMMYFUNCTION("""COMPUTED_VALUE"""),"random")</f>
        <v>random</v>
      </c>
      <c r="J201" s="2">
        <f t="shared" si="2"/>
        <v>12</v>
      </c>
      <c r="K201" s="2">
        <f t="shared" si="3"/>
        <v>10000</v>
      </c>
      <c r="L201" s="2" t="str">
        <f t="shared" si="4"/>
        <v>P</v>
      </c>
    </row>
    <row r="202">
      <c r="A202" s="2" t="str">
        <f>IFERROR(__xludf.DUMMYFUNCTION("""COMPUTED_VALUE"""),"examples/random/sparse_100000_3_4")</f>
        <v>examples/random/sparse_100000_3_4</v>
      </c>
      <c r="B202" s="4">
        <f>IFERROR(__xludf.DUMMYFUNCTION("""COMPUTED_VALUE"""),400000.0)</f>
        <v>400000</v>
      </c>
      <c r="C202" s="4">
        <f>IFERROR(__xludf.DUMMYFUNCTION("""COMPUTED_VALUE"""),60.0)</f>
        <v>60</v>
      </c>
      <c r="D202" s="4">
        <f>IFERROR(__xludf.DUMMYFUNCTION("""COMPUTED_VALUE"""),60000.0)</f>
        <v>60000</v>
      </c>
      <c r="E202" s="4">
        <f>IFERROR(__xludf.DUMMYFUNCTION("""COMPUTED_VALUE"""),60000.0)</f>
        <v>60000</v>
      </c>
      <c r="F202" s="4">
        <f>IFERROR(__xludf.DUMMYFUNCTION("""COMPUTED_VALUE"""),60000.0)</f>
        <v>60000</v>
      </c>
      <c r="G202" s="4">
        <f>IFERROR(__xludf.DUMMYFUNCTION("""COMPUTED_VALUE"""),1385.0)</f>
        <v>1385</v>
      </c>
      <c r="H202" s="4">
        <f>IFERROR(__xludf.DUMMYFUNCTION("""COMPUTED_VALUE"""),282.0)</f>
        <v>282</v>
      </c>
      <c r="I202" s="2" t="str">
        <f>IFERROR(__xludf.DUMMYFUNCTION("""COMPUTED_VALUE"""),"random")</f>
        <v>random</v>
      </c>
      <c r="J202" s="2">
        <f t="shared" si="2"/>
        <v>17</v>
      </c>
      <c r="K202" s="2">
        <f t="shared" si="3"/>
        <v>500000</v>
      </c>
      <c r="L202" s="2" t="str">
        <f t="shared" si="4"/>
        <v>P</v>
      </c>
    </row>
    <row r="203">
      <c r="A203" s="2" t="str">
        <f>IFERROR(__xludf.DUMMYFUNCTION("""COMPUTED_VALUE"""),"examples/random/dense_300_3_10")</f>
        <v>examples/random/dense_300_3_10</v>
      </c>
      <c r="B203" s="4">
        <f>IFERROR(__xludf.DUMMYFUNCTION("""COMPUTED_VALUE"""),3063.0)</f>
        <v>3063</v>
      </c>
      <c r="C203" s="4">
        <f>IFERROR(__xludf.DUMMYFUNCTION("""COMPUTED_VALUE"""),60.0)</f>
        <v>60</v>
      </c>
      <c r="D203" s="4">
        <f>IFERROR(__xludf.DUMMYFUNCTION("""COMPUTED_VALUE"""),1239.0)</f>
        <v>1239</v>
      </c>
      <c r="E203" s="4">
        <f>IFERROR(__xludf.DUMMYFUNCTION("""COMPUTED_VALUE"""),11.0)</f>
        <v>11</v>
      </c>
      <c r="F203" s="4">
        <f>IFERROR(__xludf.DUMMYFUNCTION("""COMPUTED_VALUE"""),15.0)</f>
        <v>15</v>
      </c>
      <c r="G203" s="4">
        <f>IFERROR(__xludf.DUMMYFUNCTION("""COMPUTED_VALUE"""),2.0)</f>
        <v>2</v>
      </c>
      <c r="H203" s="4">
        <f>IFERROR(__xludf.DUMMYFUNCTION("""COMPUTED_VALUE"""),0.0)</f>
        <v>0</v>
      </c>
      <c r="I203" s="2" t="str">
        <f>IFERROR(__xludf.DUMMYFUNCTION("""COMPUTED_VALUE"""),"random")</f>
        <v>random</v>
      </c>
      <c r="J203" s="2">
        <f t="shared" si="2"/>
        <v>10</v>
      </c>
      <c r="K203" s="2">
        <f t="shared" si="3"/>
        <v>2000</v>
      </c>
      <c r="L203" s="2" t="str">
        <f t="shared" si="4"/>
        <v>P</v>
      </c>
    </row>
    <row r="204">
      <c r="A204" s="2" t="str">
        <f>IFERROR(__xludf.DUMMYFUNCTION("""COMPUTED_VALUE"""),"examples/random/dense_1000_3_9")</f>
        <v>examples/random/dense_1000_3_9</v>
      </c>
      <c r="B204" s="4">
        <f>IFERROR(__xludf.DUMMYFUNCTION("""COMPUTED_VALUE"""),31060.0)</f>
        <v>31060</v>
      </c>
      <c r="C204" s="4">
        <f>IFERROR(__xludf.DUMMYFUNCTION("""COMPUTED_VALUE"""),60.0)</f>
        <v>60</v>
      </c>
      <c r="D204" s="4">
        <f>IFERROR(__xludf.DUMMYFUNCTION("""COMPUTED_VALUE"""),60000.0)</f>
        <v>60000</v>
      </c>
      <c r="E204" s="4">
        <f>IFERROR(__xludf.DUMMYFUNCTION("""COMPUTED_VALUE"""),467.0)</f>
        <v>467</v>
      </c>
      <c r="F204" s="4">
        <f>IFERROR(__xludf.DUMMYFUNCTION("""COMPUTED_VALUE"""),676.0)</f>
        <v>676</v>
      </c>
      <c r="G204" s="4">
        <f>IFERROR(__xludf.DUMMYFUNCTION("""COMPUTED_VALUE"""),14.0)</f>
        <v>14</v>
      </c>
      <c r="H204" s="4">
        <f>IFERROR(__xludf.DUMMYFUNCTION("""COMPUTED_VALUE"""),6.0)</f>
        <v>6</v>
      </c>
      <c r="I204" s="2" t="str">
        <f>IFERROR(__xludf.DUMMYFUNCTION("""COMPUTED_VALUE"""),"random")</f>
        <v>random</v>
      </c>
      <c r="J204" s="2">
        <f t="shared" si="2"/>
        <v>13</v>
      </c>
      <c r="K204" s="2">
        <f t="shared" si="3"/>
        <v>20000</v>
      </c>
      <c r="L204" s="2" t="str">
        <f t="shared" si="4"/>
        <v>P</v>
      </c>
    </row>
    <row r="205">
      <c r="A205" s="2" t="str">
        <f>IFERROR(__xludf.DUMMYFUNCTION("""COMPUTED_VALUE"""),"examples/random/sparse_300_3_7")</f>
        <v>examples/random/sparse_300_3_7</v>
      </c>
      <c r="B205" s="4">
        <f>IFERROR(__xludf.DUMMYFUNCTION("""COMPUTED_VALUE"""),1200.0)</f>
        <v>1200</v>
      </c>
      <c r="C205" s="4">
        <f>IFERROR(__xludf.DUMMYFUNCTION("""COMPUTED_VALUE"""),60.0)</f>
        <v>60</v>
      </c>
      <c r="D205" s="4">
        <f>IFERROR(__xludf.DUMMYFUNCTION("""COMPUTED_VALUE"""),359.0)</f>
        <v>359</v>
      </c>
      <c r="E205" s="4">
        <f>IFERROR(__xludf.DUMMYFUNCTION("""COMPUTED_VALUE"""),3.0)</f>
        <v>3</v>
      </c>
      <c r="F205" s="4">
        <f>IFERROR(__xludf.DUMMYFUNCTION("""COMPUTED_VALUE"""),5.0)</f>
        <v>5</v>
      </c>
      <c r="G205" s="4">
        <f>IFERROR(__xludf.DUMMYFUNCTION("""COMPUTED_VALUE"""),2.0)</f>
        <v>2</v>
      </c>
      <c r="H205" s="4">
        <f>IFERROR(__xludf.DUMMYFUNCTION("""COMPUTED_VALUE"""),0.0)</f>
        <v>0</v>
      </c>
      <c r="I205" s="2" t="str">
        <f>IFERROR(__xludf.DUMMYFUNCTION("""COMPUTED_VALUE"""),"random")</f>
        <v>random</v>
      </c>
      <c r="J205" s="2">
        <f t="shared" si="2"/>
        <v>9</v>
      </c>
      <c r="K205" s="2">
        <f t="shared" si="3"/>
        <v>1000</v>
      </c>
      <c r="L205" s="2" t="str">
        <f t="shared" si="4"/>
        <v>P</v>
      </c>
    </row>
    <row r="206">
      <c r="A206" s="2" t="str">
        <f>IFERROR(__xludf.DUMMYFUNCTION("""COMPUTED_VALUE"""),"examples/random/dense_3000_2_8")</f>
        <v>examples/random/dense_3000_2_8</v>
      </c>
      <c r="B206" s="4">
        <f>IFERROR(__xludf.DUMMYFUNCTION("""COMPUTED_VALUE"""),182972.0)</f>
        <v>182972</v>
      </c>
      <c r="C206" s="4">
        <f>IFERROR(__xludf.DUMMYFUNCTION("""COMPUTED_VALUE"""),60.0)</f>
        <v>60</v>
      </c>
      <c r="D206" s="4">
        <f>IFERROR(__xludf.DUMMYFUNCTION("""COMPUTED_VALUE"""),60000.0)</f>
        <v>60000</v>
      </c>
      <c r="E206" s="4">
        <f>IFERROR(__xludf.DUMMYFUNCTION("""COMPUTED_VALUE"""),8497.0)</f>
        <v>8497</v>
      </c>
      <c r="F206" s="4">
        <f>IFERROR(__xludf.DUMMYFUNCTION("""COMPUTED_VALUE"""),19141.0)</f>
        <v>19141</v>
      </c>
      <c r="G206" s="4">
        <f>IFERROR(__xludf.DUMMYFUNCTION("""COMPUTED_VALUE"""),70.0)</f>
        <v>70</v>
      </c>
      <c r="H206" s="4">
        <f>IFERROR(__xludf.DUMMYFUNCTION("""COMPUTED_VALUE"""),39.0)</f>
        <v>39</v>
      </c>
      <c r="I206" s="2" t="str">
        <f>IFERROR(__xludf.DUMMYFUNCTION("""COMPUTED_VALUE"""),"random")</f>
        <v>random</v>
      </c>
      <c r="J206" s="2">
        <f t="shared" si="2"/>
        <v>16</v>
      </c>
      <c r="K206" s="2">
        <f t="shared" si="3"/>
        <v>200000</v>
      </c>
      <c r="L206" s="2" t="str">
        <f t="shared" si="4"/>
        <v>P</v>
      </c>
    </row>
    <row r="207">
      <c r="A207" s="2" t="str">
        <f>IFERROR(__xludf.DUMMYFUNCTION("""COMPUTED_VALUE"""),"examples/random/sparse_100000_10_5")</f>
        <v>examples/random/sparse_100000_10_5</v>
      </c>
      <c r="B207" s="4">
        <f>IFERROR(__xludf.DUMMYFUNCTION("""COMPUTED_VALUE"""),1100000.0)</f>
        <v>1100000</v>
      </c>
      <c r="C207" s="4">
        <f>IFERROR(__xludf.DUMMYFUNCTION("""COMPUTED_VALUE"""),60.0)</f>
        <v>60</v>
      </c>
      <c r="D207" s="4">
        <f>IFERROR(__xludf.DUMMYFUNCTION("""COMPUTED_VALUE"""),60000.0)</f>
        <v>60000</v>
      </c>
      <c r="E207" s="4">
        <f>IFERROR(__xludf.DUMMYFUNCTION("""COMPUTED_VALUE"""),60000.0)</f>
        <v>60000</v>
      </c>
      <c r="F207" s="4">
        <f>IFERROR(__xludf.DUMMYFUNCTION("""COMPUTED_VALUE"""),60000.0)</f>
        <v>60000</v>
      </c>
      <c r="G207" s="4">
        <f>IFERROR(__xludf.DUMMYFUNCTION("""COMPUTED_VALUE"""),1976.0)</f>
        <v>1976</v>
      </c>
      <c r="H207" s="4">
        <f>IFERROR(__xludf.DUMMYFUNCTION("""COMPUTED_VALUE"""),589.0)</f>
        <v>589</v>
      </c>
      <c r="I207" s="2" t="str">
        <f>IFERROR(__xludf.DUMMYFUNCTION("""COMPUTED_VALUE"""),"random")</f>
        <v>random</v>
      </c>
      <c r="J207" s="2">
        <f t="shared" si="2"/>
        <v>18</v>
      </c>
      <c r="K207" s="2">
        <f t="shared" si="3"/>
        <v>1000000</v>
      </c>
      <c r="L207" s="2" t="str">
        <f t="shared" si="4"/>
        <v>P</v>
      </c>
    </row>
    <row r="208">
      <c r="A208" s="2" t="str">
        <f>IFERROR(__xludf.DUMMYFUNCTION("""COMPUTED_VALUE"""),"examples/random/sparse_300_1_9")</f>
        <v>examples/random/sparse_300_1_9</v>
      </c>
      <c r="B208" s="4">
        <f>IFERROR(__xludf.DUMMYFUNCTION("""COMPUTED_VALUE"""),600.0)</f>
        <v>600</v>
      </c>
      <c r="C208" s="4">
        <f>IFERROR(__xludf.DUMMYFUNCTION("""COMPUTED_VALUE"""),60.0)</f>
        <v>60</v>
      </c>
      <c r="D208" s="4">
        <f>IFERROR(__xludf.DUMMYFUNCTION("""COMPUTED_VALUE"""),14.0)</f>
        <v>14</v>
      </c>
      <c r="E208" s="4">
        <f>IFERROR(__xludf.DUMMYFUNCTION("""COMPUTED_VALUE"""),0.0)</f>
        <v>0</v>
      </c>
      <c r="F208" s="4">
        <f>IFERROR(__xludf.DUMMYFUNCTION("""COMPUTED_VALUE"""),0.0)</f>
        <v>0</v>
      </c>
      <c r="G208" s="4">
        <f>IFERROR(__xludf.DUMMYFUNCTION("""COMPUTED_VALUE"""),2.0)</f>
        <v>2</v>
      </c>
      <c r="H208" s="4">
        <f>IFERROR(__xludf.DUMMYFUNCTION("""COMPUTED_VALUE"""),0.0)</f>
        <v>0</v>
      </c>
      <c r="I208" s="2" t="str">
        <f>IFERROR(__xludf.DUMMYFUNCTION("""COMPUTED_VALUE"""),"random")</f>
        <v>random</v>
      </c>
      <c r="J208" s="2">
        <f t="shared" si="2"/>
        <v>8</v>
      </c>
      <c r="K208" s="2">
        <f t="shared" si="3"/>
        <v>500</v>
      </c>
      <c r="L208" s="2" t="str">
        <f t="shared" si="4"/>
        <v>BP</v>
      </c>
    </row>
    <row r="209">
      <c r="A209" s="2" t="str">
        <f>IFERROR(__xludf.DUMMYFUNCTION("""COMPUTED_VALUE"""),"examples/random/dense_1000_1_7")</f>
        <v>examples/random/dense_1000_1_7</v>
      </c>
      <c r="B209" s="4">
        <f>IFERROR(__xludf.DUMMYFUNCTION("""COMPUTED_VALUE"""),11133.0)</f>
        <v>11133</v>
      </c>
      <c r="C209" s="4">
        <f>IFERROR(__xludf.DUMMYFUNCTION("""COMPUTED_VALUE"""),60.0)</f>
        <v>60</v>
      </c>
      <c r="D209" s="4">
        <f>IFERROR(__xludf.DUMMYFUNCTION("""COMPUTED_VALUE"""),50326.0)</f>
        <v>50326</v>
      </c>
      <c r="E209" s="4">
        <f>IFERROR(__xludf.DUMMYFUNCTION("""COMPUTED_VALUE"""),143.0)</f>
        <v>143</v>
      </c>
      <c r="F209" s="4">
        <f>IFERROR(__xludf.DUMMYFUNCTION("""COMPUTED_VALUE"""),197.0)</f>
        <v>197</v>
      </c>
      <c r="G209" s="4">
        <f>IFERROR(__xludf.DUMMYFUNCTION("""COMPUTED_VALUE"""),8.0)</f>
        <v>8</v>
      </c>
      <c r="H209" s="4">
        <f>IFERROR(__xludf.DUMMYFUNCTION("""COMPUTED_VALUE"""),2.0)</f>
        <v>2</v>
      </c>
      <c r="I209" s="2" t="str">
        <f>IFERROR(__xludf.DUMMYFUNCTION("""COMPUTED_VALUE"""),"random")</f>
        <v>random</v>
      </c>
      <c r="J209" s="2">
        <f t="shared" si="2"/>
        <v>12</v>
      </c>
      <c r="K209" s="2">
        <f t="shared" si="3"/>
        <v>10000</v>
      </c>
      <c r="L209" s="2" t="str">
        <f t="shared" si="4"/>
        <v>P</v>
      </c>
    </row>
    <row r="210">
      <c r="A210" s="2" t="str">
        <f>IFERROR(__xludf.DUMMYFUNCTION("""COMPUTED_VALUE"""),"examples/random/sparse_30000_10_8")</f>
        <v>examples/random/sparse_30000_10_8</v>
      </c>
      <c r="B210" s="4">
        <f>IFERROR(__xludf.DUMMYFUNCTION("""COMPUTED_VALUE"""),330000.0)</f>
        <v>330000</v>
      </c>
      <c r="C210" s="4">
        <f>IFERROR(__xludf.DUMMYFUNCTION("""COMPUTED_VALUE"""),60.0)</f>
        <v>60</v>
      </c>
      <c r="D210" s="4">
        <f>IFERROR(__xludf.DUMMYFUNCTION("""COMPUTED_VALUE"""),60000.0)</f>
        <v>60000</v>
      </c>
      <c r="E210" s="4">
        <f>IFERROR(__xludf.DUMMYFUNCTION("""COMPUTED_VALUE"""),60000.0)</f>
        <v>60000</v>
      </c>
      <c r="F210" s="4">
        <f>IFERROR(__xludf.DUMMYFUNCTION("""COMPUTED_VALUE"""),60000.0)</f>
        <v>60000</v>
      </c>
      <c r="G210" s="4">
        <f>IFERROR(__xludf.DUMMYFUNCTION("""COMPUTED_VALUE"""),390.0)</f>
        <v>390</v>
      </c>
      <c r="H210" s="4">
        <f>IFERROR(__xludf.DUMMYFUNCTION("""COMPUTED_VALUE"""),129.0)</f>
        <v>129</v>
      </c>
      <c r="I210" s="2" t="str">
        <f>IFERROR(__xludf.DUMMYFUNCTION("""COMPUTED_VALUE"""),"random")</f>
        <v>random</v>
      </c>
      <c r="J210" s="2">
        <f t="shared" si="2"/>
        <v>17</v>
      </c>
      <c r="K210" s="2">
        <f t="shared" si="3"/>
        <v>500000</v>
      </c>
      <c r="L210" s="2" t="str">
        <f t="shared" si="4"/>
        <v>P</v>
      </c>
    </row>
    <row r="211">
      <c r="A211" s="2" t="str">
        <f>IFERROR(__xludf.DUMMYFUNCTION("""COMPUTED_VALUE"""),"examples/random/dense_3000_3_2")</f>
        <v>examples/random/dense_3000_3_2</v>
      </c>
      <c r="B211" s="4">
        <f>IFERROR(__xludf.DUMMYFUNCTION("""COMPUTED_VALUE"""),273249.0)</f>
        <v>273249</v>
      </c>
      <c r="C211" s="4">
        <f>IFERROR(__xludf.DUMMYFUNCTION("""COMPUTED_VALUE"""),60.0)</f>
        <v>60</v>
      </c>
      <c r="D211" s="4">
        <f>IFERROR(__xludf.DUMMYFUNCTION("""COMPUTED_VALUE"""),60000.0)</f>
        <v>60000</v>
      </c>
      <c r="E211" s="4">
        <f>IFERROR(__xludf.DUMMYFUNCTION("""COMPUTED_VALUE"""),12886.0)</f>
        <v>12886</v>
      </c>
      <c r="F211" s="4">
        <f>IFERROR(__xludf.DUMMYFUNCTION("""COMPUTED_VALUE"""),36356.0)</f>
        <v>36356</v>
      </c>
      <c r="G211" s="4">
        <f>IFERROR(__xludf.DUMMYFUNCTION("""COMPUTED_VALUE"""),96.0)</f>
        <v>96</v>
      </c>
      <c r="H211" s="4">
        <f>IFERROR(__xludf.DUMMYFUNCTION("""COMPUTED_VALUE"""),58.0)</f>
        <v>58</v>
      </c>
      <c r="I211" s="2" t="str">
        <f>IFERROR(__xludf.DUMMYFUNCTION("""COMPUTED_VALUE"""),"random")</f>
        <v>random</v>
      </c>
      <c r="J211" s="2">
        <f t="shared" si="2"/>
        <v>16</v>
      </c>
      <c r="K211" s="2">
        <f t="shared" si="3"/>
        <v>200000</v>
      </c>
      <c r="L211" s="2" t="str">
        <f t="shared" si="4"/>
        <v>P</v>
      </c>
    </row>
    <row r="212">
      <c r="A212" s="2" t="str">
        <f>IFERROR(__xludf.DUMMYFUNCTION("""COMPUTED_VALUE"""),"examples/random/sparse_30000_3_4")</f>
        <v>examples/random/sparse_30000_3_4</v>
      </c>
      <c r="B212" s="4">
        <f>IFERROR(__xludf.DUMMYFUNCTION("""COMPUTED_VALUE"""),120000.0)</f>
        <v>120000</v>
      </c>
      <c r="C212" s="4">
        <f>IFERROR(__xludf.DUMMYFUNCTION("""COMPUTED_VALUE"""),60.0)</f>
        <v>60</v>
      </c>
      <c r="D212" s="4">
        <f>IFERROR(__xludf.DUMMYFUNCTION("""COMPUTED_VALUE"""),60000.0)</f>
        <v>60000</v>
      </c>
      <c r="E212" s="4">
        <f>IFERROR(__xludf.DUMMYFUNCTION("""COMPUTED_VALUE"""),32198.0)</f>
        <v>32198</v>
      </c>
      <c r="F212" s="4">
        <f>IFERROR(__xludf.DUMMYFUNCTION("""COMPUTED_VALUE"""),60000.0)</f>
        <v>60000</v>
      </c>
      <c r="G212" s="4">
        <f>IFERROR(__xludf.DUMMYFUNCTION("""COMPUTED_VALUE"""),365.0)</f>
        <v>365</v>
      </c>
      <c r="H212" s="4">
        <f>IFERROR(__xludf.DUMMYFUNCTION("""COMPUTED_VALUE"""),74.0)</f>
        <v>74</v>
      </c>
      <c r="I212" s="2" t="str">
        <f>IFERROR(__xludf.DUMMYFUNCTION("""COMPUTED_VALUE"""),"random")</f>
        <v>random</v>
      </c>
      <c r="J212" s="2">
        <f t="shared" si="2"/>
        <v>15</v>
      </c>
      <c r="K212" s="2">
        <f t="shared" si="3"/>
        <v>100000</v>
      </c>
      <c r="L212" s="2" t="str">
        <f t="shared" si="4"/>
        <v>P</v>
      </c>
    </row>
    <row r="213">
      <c r="A213" s="2" t="str">
        <f>IFERROR(__xludf.DUMMYFUNCTION("""COMPUTED_VALUE"""),"examples/random/dense_1000_2_3")</f>
        <v>examples/random/dense_1000_2_3</v>
      </c>
      <c r="B213" s="4">
        <f>IFERROR(__xludf.DUMMYFUNCTION("""COMPUTED_VALUE"""),21162.0)</f>
        <v>21162</v>
      </c>
      <c r="C213" s="4">
        <f>IFERROR(__xludf.DUMMYFUNCTION("""COMPUTED_VALUE"""),60.0)</f>
        <v>60</v>
      </c>
      <c r="D213" s="4">
        <f>IFERROR(__xludf.DUMMYFUNCTION("""COMPUTED_VALUE"""),60000.0)</f>
        <v>60000</v>
      </c>
      <c r="E213" s="4">
        <f>IFERROR(__xludf.DUMMYFUNCTION("""COMPUTED_VALUE"""),313.0)</f>
        <v>313</v>
      </c>
      <c r="F213" s="4">
        <f>IFERROR(__xludf.DUMMYFUNCTION("""COMPUTED_VALUE"""),451.0)</f>
        <v>451</v>
      </c>
      <c r="G213" s="4">
        <f>IFERROR(__xludf.DUMMYFUNCTION("""COMPUTED_VALUE"""),11.0)</f>
        <v>11</v>
      </c>
      <c r="H213" s="4">
        <f>IFERROR(__xludf.DUMMYFUNCTION("""COMPUTED_VALUE"""),5.0)</f>
        <v>5</v>
      </c>
      <c r="I213" s="2" t="str">
        <f>IFERROR(__xludf.DUMMYFUNCTION("""COMPUTED_VALUE"""),"random")</f>
        <v>random</v>
      </c>
      <c r="J213" s="2">
        <f t="shared" si="2"/>
        <v>13</v>
      </c>
      <c r="K213" s="2">
        <f t="shared" si="3"/>
        <v>20000</v>
      </c>
      <c r="L213" s="2" t="str">
        <f t="shared" si="4"/>
        <v>P</v>
      </c>
    </row>
    <row r="214">
      <c r="A214" s="2" t="str">
        <f>IFERROR(__xludf.DUMMYFUNCTION("""COMPUTED_VALUE"""),"examples/random/sparse_3000_2_8")</f>
        <v>examples/random/sparse_3000_2_8</v>
      </c>
      <c r="B214" s="4">
        <f>IFERROR(__xludf.DUMMYFUNCTION("""COMPUTED_VALUE"""),9000.0)</f>
        <v>9000</v>
      </c>
      <c r="C214" s="4">
        <f>IFERROR(__xludf.DUMMYFUNCTION("""COMPUTED_VALUE"""),60.0)</f>
        <v>60</v>
      </c>
      <c r="D214" s="4">
        <f>IFERROR(__xludf.DUMMYFUNCTION("""COMPUTED_VALUE"""),60000.0)</f>
        <v>60000</v>
      </c>
      <c r="E214" s="4">
        <f>IFERROR(__xludf.DUMMYFUNCTION("""COMPUTED_VALUE"""),119.0)</f>
        <v>119</v>
      </c>
      <c r="F214" s="4">
        <f>IFERROR(__xludf.DUMMYFUNCTION("""COMPUTED_VALUE"""),215.0)</f>
        <v>215</v>
      </c>
      <c r="G214" s="4">
        <f>IFERROR(__xludf.DUMMYFUNCTION("""COMPUTED_VALUE"""),54.0)</f>
        <v>54</v>
      </c>
      <c r="H214" s="4">
        <f>IFERROR(__xludf.DUMMYFUNCTION("""COMPUTED_VALUE"""),6.0)</f>
        <v>6</v>
      </c>
      <c r="I214" s="2" t="str">
        <f>IFERROR(__xludf.DUMMYFUNCTION("""COMPUTED_VALUE"""),"random")</f>
        <v>random</v>
      </c>
      <c r="J214" s="2">
        <f t="shared" si="2"/>
        <v>12</v>
      </c>
      <c r="K214" s="2">
        <f t="shared" si="3"/>
        <v>10000</v>
      </c>
      <c r="L214" s="2" t="str">
        <f t="shared" si="4"/>
        <v>P</v>
      </c>
    </row>
    <row r="215">
      <c r="A215" s="2" t="str">
        <f>IFERROR(__xludf.DUMMYFUNCTION("""COMPUTED_VALUE"""),"examples/random/sparse_1000_1_7")</f>
        <v>examples/random/sparse_1000_1_7</v>
      </c>
      <c r="B215" s="4">
        <f>IFERROR(__xludf.DUMMYFUNCTION("""COMPUTED_VALUE"""),2000.0)</f>
        <v>2000</v>
      </c>
      <c r="C215" s="4">
        <f>IFERROR(__xludf.DUMMYFUNCTION("""COMPUTED_VALUE"""),60.0)</f>
        <v>60</v>
      </c>
      <c r="D215" s="4">
        <f>IFERROR(__xludf.DUMMYFUNCTION("""COMPUTED_VALUE"""),164.0)</f>
        <v>164</v>
      </c>
      <c r="E215" s="4">
        <f>IFERROR(__xludf.DUMMYFUNCTION("""COMPUTED_VALUE"""),1.0)</f>
        <v>1</v>
      </c>
      <c r="F215" s="4">
        <f>IFERROR(__xludf.DUMMYFUNCTION("""COMPUTED_VALUE"""),1.0)</f>
        <v>1</v>
      </c>
      <c r="G215" s="4">
        <f>IFERROR(__xludf.DUMMYFUNCTION("""COMPUTED_VALUE"""),9.0)</f>
        <v>9</v>
      </c>
      <c r="H215" s="4">
        <f>IFERROR(__xludf.DUMMYFUNCTION("""COMPUTED_VALUE"""),1.0)</f>
        <v>1</v>
      </c>
      <c r="I215" s="2" t="str">
        <f>IFERROR(__xludf.DUMMYFUNCTION("""COMPUTED_VALUE"""),"random")</f>
        <v>random</v>
      </c>
      <c r="J215" s="2">
        <f t="shared" si="2"/>
        <v>10</v>
      </c>
      <c r="K215" s="2">
        <f t="shared" si="3"/>
        <v>2000</v>
      </c>
      <c r="L215" s="2" t="str">
        <f t="shared" si="4"/>
        <v>BP</v>
      </c>
    </row>
    <row r="216">
      <c r="A216" s="2" t="str">
        <f>IFERROR(__xludf.DUMMYFUNCTION("""COMPUTED_VALUE"""),"examples/random/dense_1000_2_10")</f>
        <v>examples/random/dense_1000_2_10</v>
      </c>
      <c r="B216" s="4">
        <f>IFERROR(__xludf.DUMMYFUNCTION("""COMPUTED_VALUE"""),20969.0)</f>
        <v>20969</v>
      </c>
      <c r="C216" s="4">
        <f>IFERROR(__xludf.DUMMYFUNCTION("""COMPUTED_VALUE"""),60.0)</f>
        <v>60</v>
      </c>
      <c r="D216" s="4">
        <f>IFERROR(__xludf.DUMMYFUNCTION("""COMPUTED_VALUE"""),60000.0)</f>
        <v>60000</v>
      </c>
      <c r="E216" s="4">
        <f>IFERROR(__xludf.DUMMYFUNCTION("""COMPUTED_VALUE"""),311.0)</f>
        <v>311</v>
      </c>
      <c r="F216" s="4">
        <f>IFERROR(__xludf.DUMMYFUNCTION("""COMPUTED_VALUE"""),429.0)</f>
        <v>429</v>
      </c>
      <c r="G216" s="4">
        <f>IFERROR(__xludf.DUMMYFUNCTION("""COMPUTED_VALUE"""),11.0)</f>
        <v>11</v>
      </c>
      <c r="H216" s="4">
        <f>IFERROR(__xludf.DUMMYFUNCTION("""COMPUTED_VALUE"""),4.0)</f>
        <v>4</v>
      </c>
      <c r="I216" s="2" t="str">
        <f>IFERROR(__xludf.DUMMYFUNCTION("""COMPUTED_VALUE"""),"random")</f>
        <v>random</v>
      </c>
      <c r="J216" s="2">
        <f t="shared" si="2"/>
        <v>13</v>
      </c>
      <c r="K216" s="2">
        <f t="shared" si="3"/>
        <v>20000</v>
      </c>
      <c r="L216" s="2" t="str">
        <f t="shared" si="4"/>
        <v>P</v>
      </c>
    </row>
    <row r="217">
      <c r="A217" s="2" t="str">
        <f>IFERROR(__xludf.DUMMYFUNCTION("""COMPUTED_VALUE"""),"examples/random/dense_300_2_5")</f>
        <v>examples/random/dense_300_2_5</v>
      </c>
      <c r="B217" s="4">
        <f>IFERROR(__xludf.DUMMYFUNCTION("""COMPUTED_VALUE"""),2070.0)</f>
        <v>2070</v>
      </c>
      <c r="C217" s="4">
        <f>IFERROR(__xludf.DUMMYFUNCTION("""COMPUTED_VALUE"""),60.0)</f>
        <v>60</v>
      </c>
      <c r="D217" s="4">
        <f>IFERROR(__xludf.DUMMYFUNCTION("""COMPUTED_VALUE"""),849.0)</f>
        <v>849</v>
      </c>
      <c r="E217" s="4">
        <f>IFERROR(__xludf.DUMMYFUNCTION("""COMPUTED_VALUE"""),7.0)</f>
        <v>7</v>
      </c>
      <c r="F217" s="4">
        <f>IFERROR(__xludf.DUMMYFUNCTION("""COMPUTED_VALUE"""),11.0)</f>
        <v>11</v>
      </c>
      <c r="G217" s="4">
        <f>IFERROR(__xludf.DUMMYFUNCTION("""COMPUTED_VALUE"""),2.0)</f>
        <v>2</v>
      </c>
      <c r="H217" s="4">
        <f>IFERROR(__xludf.DUMMYFUNCTION("""COMPUTED_VALUE"""),0.0)</f>
        <v>0</v>
      </c>
      <c r="I217" s="2" t="str">
        <f>IFERROR(__xludf.DUMMYFUNCTION("""COMPUTED_VALUE"""),"random")</f>
        <v>random</v>
      </c>
      <c r="J217" s="2">
        <f t="shared" si="2"/>
        <v>10</v>
      </c>
      <c r="K217" s="2">
        <f t="shared" si="3"/>
        <v>2000</v>
      </c>
      <c r="L217" s="2" t="str">
        <f t="shared" si="4"/>
        <v>P</v>
      </c>
    </row>
    <row r="218">
      <c r="A218" s="2" t="str">
        <f>IFERROR(__xludf.DUMMYFUNCTION("""COMPUTED_VALUE"""),"examples/random/sparse_1000_3_9")</f>
        <v>examples/random/sparse_1000_3_9</v>
      </c>
      <c r="B218" s="4">
        <f>IFERROR(__xludf.DUMMYFUNCTION("""COMPUTED_VALUE"""),4000.0)</f>
        <v>4000</v>
      </c>
      <c r="C218" s="4">
        <f>IFERROR(__xludf.DUMMYFUNCTION("""COMPUTED_VALUE"""),60.0)</f>
        <v>60</v>
      </c>
      <c r="D218" s="4">
        <f>IFERROR(__xludf.DUMMYFUNCTION("""COMPUTED_VALUE"""),13298.0)</f>
        <v>13298</v>
      </c>
      <c r="E218" s="4">
        <f>IFERROR(__xludf.DUMMYFUNCTION("""COMPUTED_VALUE"""),31.0)</f>
        <v>31</v>
      </c>
      <c r="F218" s="4">
        <f>IFERROR(__xludf.DUMMYFUNCTION("""COMPUTED_VALUE"""),52.0)</f>
        <v>52</v>
      </c>
      <c r="G218" s="4">
        <f>IFERROR(__xludf.DUMMYFUNCTION("""COMPUTED_VALUE"""),8.0)</f>
        <v>8</v>
      </c>
      <c r="H218" s="4">
        <f>IFERROR(__xludf.DUMMYFUNCTION("""COMPUTED_VALUE"""),1.0)</f>
        <v>1</v>
      </c>
      <c r="I218" s="2" t="str">
        <f>IFERROR(__xludf.DUMMYFUNCTION("""COMPUTED_VALUE"""),"random")</f>
        <v>random</v>
      </c>
      <c r="J218" s="2">
        <f t="shared" si="2"/>
        <v>11</v>
      </c>
      <c r="K218" s="2">
        <f t="shared" si="3"/>
        <v>5000</v>
      </c>
      <c r="L218" s="2" t="str">
        <f t="shared" si="4"/>
        <v>P</v>
      </c>
    </row>
    <row r="219">
      <c r="A219" s="2" t="str">
        <f>IFERROR(__xludf.DUMMYFUNCTION("""COMPUTED_VALUE"""),"examples/random/sparse_100000_1_3")</f>
        <v>examples/random/sparse_100000_1_3</v>
      </c>
      <c r="B219" s="4">
        <f>IFERROR(__xludf.DUMMYFUNCTION("""COMPUTED_VALUE"""),200000.0)</f>
        <v>200000</v>
      </c>
      <c r="C219" s="4">
        <f>IFERROR(__xludf.DUMMYFUNCTION("""COMPUTED_VALUE"""),60.0)</f>
        <v>60</v>
      </c>
      <c r="D219" s="4">
        <f>IFERROR(__xludf.DUMMYFUNCTION("""COMPUTED_VALUE"""),60000.0)</f>
        <v>60000</v>
      </c>
      <c r="E219" s="4">
        <f>IFERROR(__xludf.DUMMYFUNCTION("""COMPUTED_VALUE"""),332.0)</f>
        <v>332</v>
      </c>
      <c r="F219" s="4">
        <f>IFERROR(__xludf.DUMMYFUNCTION("""COMPUTED_VALUE"""),289.0)</f>
        <v>289</v>
      </c>
      <c r="G219" s="4">
        <f>IFERROR(__xludf.DUMMYFUNCTION("""COMPUTED_VALUE"""),1574.0)</f>
        <v>1574</v>
      </c>
      <c r="H219" s="4">
        <f>IFERROR(__xludf.DUMMYFUNCTION("""COMPUTED_VALUE"""),205.0)</f>
        <v>205</v>
      </c>
      <c r="I219" s="2" t="str">
        <f>IFERROR(__xludf.DUMMYFUNCTION("""COMPUTED_VALUE"""),"random")</f>
        <v>random</v>
      </c>
      <c r="J219" s="2">
        <f t="shared" si="2"/>
        <v>16</v>
      </c>
      <c r="K219" s="2">
        <f t="shared" si="3"/>
        <v>200000</v>
      </c>
      <c r="L219" s="2" t="str">
        <f t="shared" si="4"/>
        <v>P</v>
      </c>
    </row>
    <row r="220">
      <c r="A220" s="2" t="str">
        <f>IFERROR(__xludf.DUMMYFUNCTION("""COMPUTED_VALUE"""),"examples/random/sparse_3000_10_6")</f>
        <v>examples/random/sparse_3000_10_6</v>
      </c>
      <c r="B220" s="4">
        <f>IFERROR(__xludf.DUMMYFUNCTION("""COMPUTED_VALUE"""),33000.0)</f>
        <v>33000</v>
      </c>
      <c r="C220" s="4">
        <f>IFERROR(__xludf.DUMMYFUNCTION("""COMPUTED_VALUE"""),60.0)</f>
        <v>60</v>
      </c>
      <c r="D220" s="4">
        <f>IFERROR(__xludf.DUMMYFUNCTION("""COMPUTED_VALUE"""),60000.0)</f>
        <v>60000</v>
      </c>
      <c r="E220" s="4">
        <f>IFERROR(__xludf.DUMMYFUNCTION("""COMPUTED_VALUE"""),1349.0)</f>
        <v>1349</v>
      </c>
      <c r="F220" s="4">
        <f>IFERROR(__xludf.DUMMYFUNCTION("""COMPUTED_VALUE"""),2013.0)</f>
        <v>2013</v>
      </c>
      <c r="G220" s="4">
        <f>IFERROR(__xludf.DUMMYFUNCTION("""COMPUTED_VALUE"""),28.0)</f>
        <v>28</v>
      </c>
      <c r="H220" s="4">
        <f>IFERROR(__xludf.DUMMYFUNCTION("""COMPUTED_VALUE"""),9.0)</f>
        <v>9</v>
      </c>
      <c r="I220" s="2" t="str">
        <f>IFERROR(__xludf.DUMMYFUNCTION("""COMPUTED_VALUE"""),"random")</f>
        <v>random</v>
      </c>
      <c r="J220" s="2">
        <f t="shared" si="2"/>
        <v>14</v>
      </c>
      <c r="K220" s="2">
        <f t="shared" si="3"/>
        <v>50000</v>
      </c>
      <c r="L220" s="2" t="str">
        <f t="shared" si="4"/>
        <v>P</v>
      </c>
    </row>
    <row r="221">
      <c r="A221" s="2" t="str">
        <f>IFERROR(__xludf.DUMMYFUNCTION("""COMPUTED_VALUE"""),"examples/random/sparse_1000_10_2")</f>
        <v>examples/random/sparse_1000_10_2</v>
      </c>
      <c r="B221" s="4">
        <f>IFERROR(__xludf.DUMMYFUNCTION("""COMPUTED_VALUE"""),11000.0)</f>
        <v>11000</v>
      </c>
      <c r="C221" s="4">
        <f>IFERROR(__xludf.DUMMYFUNCTION("""COMPUTED_VALUE"""),60.0)</f>
        <v>60</v>
      </c>
      <c r="D221" s="4">
        <f>IFERROR(__xludf.DUMMYFUNCTION("""COMPUTED_VALUE"""),60000.0)</f>
        <v>60000</v>
      </c>
      <c r="E221" s="4">
        <f>IFERROR(__xludf.DUMMYFUNCTION("""COMPUTED_VALUE"""),152.0)</f>
        <v>152</v>
      </c>
      <c r="F221" s="4">
        <f>IFERROR(__xludf.DUMMYFUNCTION("""COMPUTED_VALUE"""),221.0)</f>
        <v>221</v>
      </c>
      <c r="G221" s="4">
        <f>IFERROR(__xludf.DUMMYFUNCTION("""COMPUTED_VALUE"""),10.0)</f>
        <v>10</v>
      </c>
      <c r="H221" s="4">
        <f>IFERROR(__xludf.DUMMYFUNCTION("""COMPUTED_VALUE"""),3.0)</f>
        <v>3</v>
      </c>
      <c r="I221" s="2" t="str">
        <f>IFERROR(__xludf.DUMMYFUNCTION("""COMPUTED_VALUE"""),"random")</f>
        <v>random</v>
      </c>
      <c r="J221" s="2">
        <f t="shared" si="2"/>
        <v>12</v>
      </c>
      <c r="K221" s="2">
        <f t="shared" si="3"/>
        <v>10000</v>
      </c>
      <c r="L221" s="2" t="str">
        <f t="shared" si="4"/>
        <v>P</v>
      </c>
    </row>
    <row r="222">
      <c r="A222" s="2" t="str">
        <f>IFERROR(__xludf.DUMMYFUNCTION("""COMPUTED_VALUE"""),"examples/random/dense_10000_2_7")</f>
        <v>examples/random/dense_10000_2_7</v>
      </c>
      <c r="B222" s="4">
        <f>IFERROR(__xludf.DUMMYFUNCTION("""COMPUTED_VALUE"""),2009624.0)</f>
        <v>2009624</v>
      </c>
      <c r="C222" s="4">
        <f>IFERROR(__xludf.DUMMYFUNCTION("""COMPUTED_VALUE"""),60.0)</f>
        <v>60</v>
      </c>
      <c r="D222" s="4">
        <f>IFERROR(__xludf.DUMMYFUNCTION("""COMPUTED_VALUE"""),60000.0)</f>
        <v>60000</v>
      </c>
      <c r="E222" s="4">
        <f>IFERROR(__xludf.DUMMYFUNCTION("""COMPUTED_VALUE"""),60000.0)</f>
        <v>60000</v>
      </c>
      <c r="F222" s="4">
        <f>IFERROR(__xludf.DUMMYFUNCTION("""COMPUTED_VALUE"""),60000.0)</f>
        <v>60000</v>
      </c>
      <c r="G222" s="4">
        <f>IFERROR(__xludf.DUMMYFUNCTION("""COMPUTED_VALUE"""),657.0)</f>
        <v>657</v>
      </c>
      <c r="H222" s="4">
        <f>IFERROR(__xludf.DUMMYFUNCTION("""COMPUTED_VALUE"""),445.0)</f>
        <v>445</v>
      </c>
      <c r="I222" s="2" t="str">
        <f>IFERROR(__xludf.DUMMYFUNCTION("""COMPUTED_VALUE"""),"random")</f>
        <v>random</v>
      </c>
      <c r="J222" s="2">
        <f t="shared" si="2"/>
        <v>19</v>
      </c>
      <c r="K222" s="2">
        <f t="shared" si="3"/>
        <v>2000000</v>
      </c>
      <c r="L222" s="2" t="str">
        <f t="shared" si="4"/>
        <v>P</v>
      </c>
    </row>
    <row r="223">
      <c r="A223" s="2" t="str">
        <f>IFERROR(__xludf.DUMMYFUNCTION("""COMPUTED_VALUE"""),"examples/random/dense_100_3_2")</f>
        <v>examples/random/dense_100_3_2</v>
      </c>
      <c r="B223" s="4">
        <f>IFERROR(__xludf.DUMMYFUNCTION("""COMPUTED_VALUE"""),414.0)</f>
        <v>414</v>
      </c>
      <c r="C223" s="4">
        <f>IFERROR(__xludf.DUMMYFUNCTION("""COMPUTED_VALUE"""),60.0)</f>
        <v>60</v>
      </c>
      <c r="D223" s="4">
        <f>IFERROR(__xludf.DUMMYFUNCTION("""COMPUTED_VALUE"""),15.0)</f>
        <v>15</v>
      </c>
      <c r="E223" s="4">
        <f>IFERROR(__xludf.DUMMYFUNCTION("""COMPUTED_VALUE"""),0.0)</f>
        <v>0</v>
      </c>
      <c r="F223" s="4">
        <f>IFERROR(__xludf.DUMMYFUNCTION("""COMPUTED_VALUE"""),0.0)</f>
        <v>0</v>
      </c>
      <c r="G223" s="4">
        <f>IFERROR(__xludf.DUMMYFUNCTION("""COMPUTED_VALUE"""),0.0)</f>
        <v>0</v>
      </c>
      <c r="H223" s="4">
        <f>IFERROR(__xludf.DUMMYFUNCTION("""COMPUTED_VALUE"""),0.0)</f>
        <v>0</v>
      </c>
      <c r="I223" s="2" t="str">
        <f>IFERROR(__xludf.DUMMYFUNCTION("""COMPUTED_VALUE"""),"random")</f>
        <v>random</v>
      </c>
      <c r="J223" s="2">
        <f t="shared" si="2"/>
        <v>8</v>
      </c>
      <c r="K223" s="2">
        <f t="shared" si="3"/>
        <v>500</v>
      </c>
      <c r="L223" s="2">
        <f t="shared" si="4"/>
        <v>0</v>
      </c>
    </row>
    <row r="224">
      <c r="A224" s="2" t="str">
        <f>IFERROR(__xludf.DUMMYFUNCTION("""COMPUTED_VALUE"""),"examples/random/sparse_10000_2_10")</f>
        <v>examples/random/sparse_10000_2_10</v>
      </c>
      <c r="B224" s="4">
        <f>IFERROR(__xludf.DUMMYFUNCTION("""COMPUTED_VALUE"""),30000.0)</f>
        <v>30000</v>
      </c>
      <c r="C224" s="4">
        <f>IFERROR(__xludf.DUMMYFUNCTION("""COMPUTED_VALUE"""),60.0)</f>
        <v>60</v>
      </c>
      <c r="D224" s="4">
        <f>IFERROR(__xludf.DUMMYFUNCTION("""COMPUTED_VALUE"""),60000.0)</f>
        <v>60000</v>
      </c>
      <c r="E224" s="4">
        <f>IFERROR(__xludf.DUMMYFUNCTION("""COMPUTED_VALUE"""),1420.0)</f>
        <v>1420</v>
      </c>
      <c r="F224" s="4">
        <f>IFERROR(__xludf.DUMMYFUNCTION("""COMPUTED_VALUE"""),2530.0)</f>
        <v>2530</v>
      </c>
      <c r="G224" s="4">
        <f>IFERROR(__xludf.DUMMYFUNCTION("""COMPUTED_VALUE"""),201.0)</f>
        <v>201</v>
      </c>
      <c r="H224" s="4">
        <f>IFERROR(__xludf.DUMMYFUNCTION("""COMPUTED_VALUE"""),22.0)</f>
        <v>22</v>
      </c>
      <c r="I224" s="2" t="str">
        <f>IFERROR(__xludf.DUMMYFUNCTION("""COMPUTED_VALUE"""),"random")</f>
        <v>random</v>
      </c>
      <c r="J224" s="2">
        <f t="shared" si="2"/>
        <v>13</v>
      </c>
      <c r="K224" s="2">
        <f t="shared" si="3"/>
        <v>20000</v>
      </c>
      <c r="L224" s="2" t="str">
        <f t="shared" si="4"/>
        <v>P</v>
      </c>
    </row>
    <row r="225">
      <c r="A225" s="2" t="str">
        <f>IFERROR(__xludf.DUMMYFUNCTION("""COMPUTED_VALUE"""),"examples/random/dense_10000_1_3")</f>
        <v>examples/random/dense_10000_1_3</v>
      </c>
      <c r="B225" s="4">
        <f>IFERROR(__xludf.DUMMYFUNCTION("""COMPUTED_VALUE"""),1009259.0)</f>
        <v>1009259</v>
      </c>
      <c r="C225" s="4">
        <f>IFERROR(__xludf.DUMMYFUNCTION("""COMPUTED_VALUE"""),60.0)</f>
        <v>60</v>
      </c>
      <c r="D225" s="4">
        <f>IFERROR(__xludf.DUMMYFUNCTION("""COMPUTED_VALUE"""),60000.0)</f>
        <v>60000</v>
      </c>
      <c r="E225" s="4">
        <f>IFERROR(__xludf.DUMMYFUNCTION("""COMPUTED_VALUE"""),60000.0)</f>
        <v>60000</v>
      </c>
      <c r="F225" s="4">
        <f>IFERROR(__xludf.DUMMYFUNCTION("""COMPUTED_VALUE"""),60000.0)</f>
        <v>60000</v>
      </c>
      <c r="G225" s="4">
        <f>IFERROR(__xludf.DUMMYFUNCTION("""COMPUTED_VALUE"""),359.0)</f>
        <v>359</v>
      </c>
      <c r="H225" s="4">
        <f>IFERROR(__xludf.DUMMYFUNCTION("""COMPUTED_VALUE"""),220.0)</f>
        <v>220</v>
      </c>
      <c r="I225" s="2" t="str">
        <f>IFERROR(__xludf.DUMMYFUNCTION("""COMPUTED_VALUE"""),"random")</f>
        <v>random</v>
      </c>
      <c r="J225" s="2">
        <f t="shared" si="2"/>
        <v>18</v>
      </c>
      <c r="K225" s="2">
        <f t="shared" si="3"/>
        <v>1000000</v>
      </c>
      <c r="L225" s="2" t="str">
        <f t="shared" si="4"/>
        <v>P</v>
      </c>
    </row>
    <row r="226">
      <c r="A226" s="2" t="str">
        <f>IFERROR(__xludf.DUMMYFUNCTION("""COMPUTED_VALUE"""),"examples/random/sparse_1000_2_3")</f>
        <v>examples/random/sparse_1000_2_3</v>
      </c>
      <c r="B226" s="4">
        <f>IFERROR(__xludf.DUMMYFUNCTION("""COMPUTED_VALUE"""),3000.0)</f>
        <v>3000</v>
      </c>
      <c r="C226" s="4">
        <f>IFERROR(__xludf.DUMMYFUNCTION("""COMPUTED_VALUE"""),60.0)</f>
        <v>60</v>
      </c>
      <c r="D226" s="4">
        <f>IFERROR(__xludf.DUMMYFUNCTION("""COMPUTED_VALUE"""),5285.0)</f>
        <v>5285</v>
      </c>
      <c r="E226" s="4">
        <f>IFERROR(__xludf.DUMMYFUNCTION("""COMPUTED_VALUE"""),14.0)</f>
        <v>14</v>
      </c>
      <c r="F226" s="4">
        <f>IFERROR(__xludf.DUMMYFUNCTION("""COMPUTED_VALUE"""),25.0)</f>
        <v>25</v>
      </c>
      <c r="G226" s="4">
        <f>IFERROR(__xludf.DUMMYFUNCTION("""COMPUTED_VALUE"""),7.0)</f>
        <v>7</v>
      </c>
      <c r="H226" s="4">
        <f>IFERROR(__xludf.DUMMYFUNCTION("""COMPUTED_VALUE"""),1.0)</f>
        <v>1</v>
      </c>
      <c r="I226" s="2" t="str">
        <f>IFERROR(__xludf.DUMMYFUNCTION("""COMPUTED_VALUE"""),"random")</f>
        <v>random</v>
      </c>
      <c r="J226" s="2">
        <f t="shared" si="2"/>
        <v>10</v>
      </c>
      <c r="K226" s="2">
        <f t="shared" si="3"/>
        <v>2000</v>
      </c>
      <c r="L226" s="2" t="str">
        <f t="shared" si="4"/>
        <v>P</v>
      </c>
    </row>
    <row r="227">
      <c r="A227" s="2" t="str">
        <f>IFERROR(__xludf.DUMMYFUNCTION("""COMPUTED_VALUE"""),"examples/random/dense_300_1_1")</f>
        <v>examples/random/dense_300_1_1</v>
      </c>
      <c r="B227" s="4">
        <f>IFERROR(__xludf.DUMMYFUNCTION("""COMPUTED_VALUE"""),1229.0)</f>
        <v>1229</v>
      </c>
      <c r="C227" s="4">
        <f>IFERROR(__xludf.DUMMYFUNCTION("""COMPUTED_VALUE"""),60.0)</f>
        <v>60</v>
      </c>
      <c r="D227" s="4">
        <f>IFERROR(__xludf.DUMMYFUNCTION("""COMPUTED_VALUE"""),297.0)</f>
        <v>297</v>
      </c>
      <c r="E227" s="4">
        <f>IFERROR(__xludf.DUMMYFUNCTION("""COMPUTED_VALUE"""),3.0)</f>
        <v>3</v>
      </c>
      <c r="F227" s="4">
        <f>IFERROR(__xludf.DUMMYFUNCTION("""COMPUTED_VALUE"""),5.0)</f>
        <v>5</v>
      </c>
      <c r="G227" s="4">
        <f>IFERROR(__xludf.DUMMYFUNCTION("""COMPUTED_VALUE"""),2.0)</f>
        <v>2</v>
      </c>
      <c r="H227" s="4">
        <f>IFERROR(__xludf.DUMMYFUNCTION("""COMPUTED_VALUE"""),0.0)</f>
        <v>0</v>
      </c>
      <c r="I227" s="2" t="str">
        <f>IFERROR(__xludf.DUMMYFUNCTION("""COMPUTED_VALUE"""),"random")</f>
        <v>random</v>
      </c>
      <c r="J227" s="2">
        <f t="shared" si="2"/>
        <v>9</v>
      </c>
      <c r="K227" s="2">
        <f t="shared" si="3"/>
        <v>1000</v>
      </c>
      <c r="L227" s="2" t="str">
        <f t="shared" si="4"/>
        <v>P</v>
      </c>
    </row>
    <row r="228">
      <c r="A228" s="2" t="str">
        <f>IFERROR(__xludf.DUMMYFUNCTION("""COMPUTED_VALUE"""),"examples/random/sparse_100000_2_7")</f>
        <v>examples/random/sparse_100000_2_7</v>
      </c>
      <c r="B228" s="4">
        <f>IFERROR(__xludf.DUMMYFUNCTION("""COMPUTED_VALUE"""),300000.0)</f>
        <v>300000</v>
      </c>
      <c r="C228" s="4">
        <f>IFERROR(__xludf.DUMMYFUNCTION("""COMPUTED_VALUE"""),60.0)</f>
        <v>60</v>
      </c>
      <c r="D228" s="4">
        <f>IFERROR(__xludf.DUMMYFUNCTION("""COMPUTED_VALUE"""),60000.0)</f>
        <v>60000</v>
      </c>
      <c r="E228" s="4">
        <f>IFERROR(__xludf.DUMMYFUNCTION("""COMPUTED_VALUE"""),60000.0)</f>
        <v>60000</v>
      </c>
      <c r="F228" s="4">
        <f>IFERROR(__xludf.DUMMYFUNCTION("""COMPUTED_VALUE"""),60000.0)</f>
        <v>60000</v>
      </c>
      <c r="G228" s="4">
        <f>IFERROR(__xludf.DUMMYFUNCTION("""COMPUTED_VALUE"""),1119.0)</f>
        <v>1119</v>
      </c>
      <c r="H228" s="4">
        <f>IFERROR(__xludf.DUMMYFUNCTION("""COMPUTED_VALUE"""),214.0)</f>
        <v>214</v>
      </c>
      <c r="I228" s="2" t="str">
        <f>IFERROR(__xludf.DUMMYFUNCTION("""COMPUTED_VALUE"""),"random")</f>
        <v>random</v>
      </c>
      <c r="J228" s="2">
        <f t="shared" si="2"/>
        <v>16</v>
      </c>
      <c r="K228" s="2">
        <f t="shared" si="3"/>
        <v>200000</v>
      </c>
      <c r="L228" s="2" t="str">
        <f t="shared" si="4"/>
        <v>P</v>
      </c>
    </row>
    <row r="229">
      <c r="A229" s="2" t="str">
        <f>IFERROR(__xludf.DUMMYFUNCTION("""COMPUTED_VALUE"""),"examples/random/sparse_3000_3_2")</f>
        <v>examples/random/sparse_3000_3_2</v>
      </c>
      <c r="B229" s="4">
        <f>IFERROR(__xludf.DUMMYFUNCTION("""COMPUTED_VALUE"""),12000.0)</f>
        <v>12000</v>
      </c>
      <c r="C229" s="4">
        <f>IFERROR(__xludf.DUMMYFUNCTION("""COMPUTED_VALUE"""),60.0)</f>
        <v>60</v>
      </c>
      <c r="D229" s="4">
        <f>IFERROR(__xludf.DUMMYFUNCTION("""COMPUTED_VALUE"""),60000.0)</f>
        <v>60000</v>
      </c>
      <c r="E229" s="4">
        <f>IFERROR(__xludf.DUMMYFUNCTION("""COMPUTED_VALUE"""),278.0)</f>
        <v>278</v>
      </c>
      <c r="F229" s="4">
        <f>IFERROR(__xludf.DUMMYFUNCTION("""COMPUTED_VALUE"""),488.0)</f>
        <v>488</v>
      </c>
      <c r="G229" s="4">
        <f>IFERROR(__xludf.DUMMYFUNCTION("""COMPUTED_VALUE"""),27.0)</f>
        <v>27</v>
      </c>
      <c r="H229" s="4">
        <f>IFERROR(__xludf.DUMMYFUNCTION("""COMPUTED_VALUE"""),6.0)</f>
        <v>6</v>
      </c>
      <c r="I229" s="2" t="str">
        <f>IFERROR(__xludf.DUMMYFUNCTION("""COMPUTED_VALUE"""),"random")</f>
        <v>random</v>
      </c>
      <c r="J229" s="2">
        <f t="shared" si="2"/>
        <v>12</v>
      </c>
      <c r="K229" s="2">
        <f t="shared" si="3"/>
        <v>10000</v>
      </c>
      <c r="L229" s="2" t="str">
        <f t="shared" si="4"/>
        <v>P</v>
      </c>
    </row>
    <row r="230">
      <c r="A230" s="2" t="str">
        <f>IFERROR(__xludf.DUMMYFUNCTION("""COMPUTED_VALUE"""),"examples/random/sparse_300_10_1")</f>
        <v>examples/random/sparse_300_10_1</v>
      </c>
      <c r="B230" s="4">
        <f>IFERROR(__xludf.DUMMYFUNCTION("""COMPUTED_VALUE"""),3300.0)</f>
        <v>3300</v>
      </c>
      <c r="C230" s="4">
        <f>IFERROR(__xludf.DUMMYFUNCTION("""COMPUTED_VALUE"""),60.0)</f>
        <v>60</v>
      </c>
      <c r="D230" s="4">
        <f>IFERROR(__xludf.DUMMYFUNCTION("""COMPUTED_VALUE"""),1333.0)</f>
        <v>1333</v>
      </c>
      <c r="E230" s="4">
        <f>IFERROR(__xludf.DUMMYFUNCTION("""COMPUTED_VALUE"""),12.0)</f>
        <v>12</v>
      </c>
      <c r="F230" s="4">
        <f>IFERROR(__xludf.DUMMYFUNCTION("""COMPUTED_VALUE"""),18.0)</f>
        <v>18</v>
      </c>
      <c r="G230" s="4">
        <f>IFERROR(__xludf.DUMMYFUNCTION("""COMPUTED_VALUE"""),2.0)</f>
        <v>2</v>
      </c>
      <c r="H230" s="4">
        <f>IFERROR(__xludf.DUMMYFUNCTION("""COMPUTED_VALUE"""),0.0)</f>
        <v>0</v>
      </c>
      <c r="I230" s="2" t="str">
        <f>IFERROR(__xludf.DUMMYFUNCTION("""COMPUTED_VALUE"""),"random")</f>
        <v>random</v>
      </c>
      <c r="J230" s="2">
        <f t="shared" si="2"/>
        <v>11</v>
      </c>
      <c r="K230" s="2">
        <f t="shared" si="3"/>
        <v>5000</v>
      </c>
      <c r="L230" s="2" t="str">
        <f t="shared" si="4"/>
        <v>P</v>
      </c>
    </row>
    <row r="231">
      <c r="A231" s="2" t="str">
        <f>IFERROR(__xludf.DUMMYFUNCTION("""COMPUTED_VALUE"""),"examples/random/sparse_300_3_6")</f>
        <v>examples/random/sparse_300_3_6</v>
      </c>
      <c r="B231" s="4">
        <f>IFERROR(__xludf.DUMMYFUNCTION("""COMPUTED_VALUE"""),1200.0)</f>
        <v>1200</v>
      </c>
      <c r="C231" s="4">
        <f>IFERROR(__xludf.DUMMYFUNCTION("""COMPUTED_VALUE"""),60.0)</f>
        <v>60</v>
      </c>
      <c r="D231" s="4">
        <f>IFERROR(__xludf.DUMMYFUNCTION("""COMPUTED_VALUE"""),324.0)</f>
        <v>324</v>
      </c>
      <c r="E231" s="4">
        <f>IFERROR(__xludf.DUMMYFUNCTION("""COMPUTED_VALUE"""),2.0)</f>
        <v>2</v>
      </c>
      <c r="F231" s="4">
        <f>IFERROR(__xludf.DUMMYFUNCTION("""COMPUTED_VALUE"""),4.0)</f>
        <v>4</v>
      </c>
      <c r="G231" s="4">
        <f>IFERROR(__xludf.DUMMYFUNCTION("""COMPUTED_VALUE"""),2.0)</f>
        <v>2</v>
      </c>
      <c r="H231" s="4">
        <f>IFERROR(__xludf.DUMMYFUNCTION("""COMPUTED_VALUE"""),0.0)</f>
        <v>0</v>
      </c>
      <c r="I231" s="2" t="str">
        <f>IFERROR(__xludf.DUMMYFUNCTION("""COMPUTED_VALUE"""),"random")</f>
        <v>random</v>
      </c>
      <c r="J231" s="2">
        <f t="shared" si="2"/>
        <v>9</v>
      </c>
      <c r="K231" s="2">
        <f t="shared" si="3"/>
        <v>1000</v>
      </c>
      <c r="L231" s="2" t="str">
        <f t="shared" si="4"/>
        <v>P</v>
      </c>
    </row>
    <row r="232">
      <c r="A232" s="2" t="str">
        <f>IFERROR(__xludf.DUMMYFUNCTION("""COMPUTED_VALUE"""),"examples/random/dense_1000_3_8")</f>
        <v>examples/random/dense_1000_3_8</v>
      </c>
      <c r="B232" s="4">
        <f>IFERROR(__xludf.DUMMYFUNCTION("""COMPUTED_VALUE"""),30899.0)</f>
        <v>30899</v>
      </c>
      <c r="C232" s="4">
        <f>IFERROR(__xludf.DUMMYFUNCTION("""COMPUTED_VALUE"""),60.0)</f>
        <v>60</v>
      </c>
      <c r="D232" s="4">
        <f>IFERROR(__xludf.DUMMYFUNCTION("""COMPUTED_VALUE"""),60000.0)</f>
        <v>60000</v>
      </c>
      <c r="E232" s="4">
        <f>IFERROR(__xludf.DUMMYFUNCTION("""COMPUTED_VALUE"""),443.0)</f>
        <v>443</v>
      </c>
      <c r="F232" s="4">
        <f>IFERROR(__xludf.DUMMYFUNCTION("""COMPUTED_VALUE"""),682.0)</f>
        <v>682</v>
      </c>
      <c r="G232" s="4">
        <f>IFERROR(__xludf.DUMMYFUNCTION("""COMPUTED_VALUE"""),14.0)</f>
        <v>14</v>
      </c>
      <c r="H232" s="4">
        <f>IFERROR(__xludf.DUMMYFUNCTION("""COMPUTED_VALUE"""),6.0)</f>
        <v>6</v>
      </c>
      <c r="I232" s="2" t="str">
        <f>IFERROR(__xludf.DUMMYFUNCTION("""COMPUTED_VALUE"""),"random")</f>
        <v>random</v>
      </c>
      <c r="J232" s="2">
        <f t="shared" si="2"/>
        <v>13</v>
      </c>
      <c r="K232" s="2">
        <f t="shared" si="3"/>
        <v>20000</v>
      </c>
      <c r="L232" s="2" t="str">
        <f t="shared" si="4"/>
        <v>P</v>
      </c>
    </row>
    <row r="233">
      <c r="A233" s="2" t="str">
        <f>IFERROR(__xludf.DUMMYFUNCTION("""COMPUTED_VALUE"""),"examples/random/dense_1000_1_6")</f>
        <v>examples/random/dense_1000_1_6</v>
      </c>
      <c r="B233" s="4">
        <f>IFERROR(__xludf.DUMMYFUNCTION("""COMPUTED_VALUE"""),11032.0)</f>
        <v>11032</v>
      </c>
      <c r="C233" s="4">
        <f>IFERROR(__xludf.DUMMYFUNCTION("""COMPUTED_VALUE"""),60.0)</f>
        <v>60</v>
      </c>
      <c r="D233" s="4">
        <f>IFERROR(__xludf.DUMMYFUNCTION("""COMPUTED_VALUE"""),50998.0)</f>
        <v>50998</v>
      </c>
      <c r="E233" s="4">
        <f>IFERROR(__xludf.DUMMYFUNCTION("""COMPUTED_VALUE"""),145.0)</f>
        <v>145</v>
      </c>
      <c r="F233" s="4">
        <f>IFERROR(__xludf.DUMMYFUNCTION("""COMPUTED_VALUE"""),198.0)</f>
        <v>198</v>
      </c>
      <c r="G233" s="4">
        <f>IFERROR(__xludf.DUMMYFUNCTION("""COMPUTED_VALUE"""),8.0)</f>
        <v>8</v>
      </c>
      <c r="H233" s="4">
        <f>IFERROR(__xludf.DUMMYFUNCTION("""COMPUTED_VALUE"""),2.0)</f>
        <v>2</v>
      </c>
      <c r="I233" s="2" t="str">
        <f>IFERROR(__xludf.DUMMYFUNCTION("""COMPUTED_VALUE"""),"random")</f>
        <v>random</v>
      </c>
      <c r="J233" s="2">
        <f t="shared" si="2"/>
        <v>12</v>
      </c>
      <c r="K233" s="2">
        <f t="shared" si="3"/>
        <v>10000</v>
      </c>
      <c r="L233" s="2" t="str">
        <f t="shared" si="4"/>
        <v>P</v>
      </c>
    </row>
    <row r="234">
      <c r="A234" s="2" t="str">
        <f>IFERROR(__xludf.DUMMYFUNCTION("""COMPUTED_VALUE"""),"examples/random/sparse_300_1_8")</f>
        <v>examples/random/sparse_300_1_8</v>
      </c>
      <c r="B234" s="4">
        <f>IFERROR(__xludf.DUMMYFUNCTION("""COMPUTED_VALUE"""),600.0)</f>
        <v>600</v>
      </c>
      <c r="C234" s="4">
        <f>IFERROR(__xludf.DUMMYFUNCTION("""COMPUTED_VALUE"""),60.0)</f>
        <v>60</v>
      </c>
      <c r="D234" s="4">
        <f>IFERROR(__xludf.DUMMYFUNCTION("""COMPUTED_VALUE"""),14.0)</f>
        <v>14</v>
      </c>
      <c r="E234" s="4">
        <f>IFERROR(__xludf.DUMMYFUNCTION("""COMPUTED_VALUE"""),0.0)</f>
        <v>0</v>
      </c>
      <c r="F234" s="4">
        <f>IFERROR(__xludf.DUMMYFUNCTION("""COMPUTED_VALUE"""),0.0)</f>
        <v>0</v>
      </c>
      <c r="G234" s="4">
        <f>IFERROR(__xludf.DUMMYFUNCTION("""COMPUTED_VALUE"""),2.0)</f>
        <v>2</v>
      </c>
      <c r="H234" s="4">
        <f>IFERROR(__xludf.DUMMYFUNCTION("""COMPUTED_VALUE"""),0.0)</f>
        <v>0</v>
      </c>
      <c r="I234" s="2" t="str">
        <f>IFERROR(__xludf.DUMMYFUNCTION("""COMPUTED_VALUE"""),"random")</f>
        <v>random</v>
      </c>
      <c r="J234" s="2">
        <f t="shared" si="2"/>
        <v>8</v>
      </c>
      <c r="K234" s="2">
        <f t="shared" si="3"/>
        <v>500</v>
      </c>
      <c r="L234" s="2" t="str">
        <f t="shared" si="4"/>
        <v>BP</v>
      </c>
    </row>
    <row r="235">
      <c r="A235" s="2" t="str">
        <f>IFERROR(__xludf.DUMMYFUNCTION("""COMPUTED_VALUE"""),"examples/random/sparse_100000_10_4")</f>
        <v>examples/random/sparse_100000_10_4</v>
      </c>
      <c r="B235" s="4">
        <f>IFERROR(__xludf.DUMMYFUNCTION("""COMPUTED_VALUE"""),1100000.0)</f>
        <v>1100000</v>
      </c>
      <c r="C235" s="4">
        <f>IFERROR(__xludf.DUMMYFUNCTION("""COMPUTED_VALUE"""),60.0)</f>
        <v>60</v>
      </c>
      <c r="D235" s="4">
        <f>IFERROR(__xludf.DUMMYFUNCTION("""COMPUTED_VALUE"""),60000.0)</f>
        <v>60000</v>
      </c>
      <c r="E235" s="4">
        <f>IFERROR(__xludf.DUMMYFUNCTION("""COMPUTED_VALUE"""),60000.0)</f>
        <v>60000</v>
      </c>
      <c r="F235" s="4">
        <f>IFERROR(__xludf.DUMMYFUNCTION("""COMPUTED_VALUE"""),60000.0)</f>
        <v>60000</v>
      </c>
      <c r="G235" s="4">
        <f>IFERROR(__xludf.DUMMYFUNCTION("""COMPUTED_VALUE"""),1532.0)</f>
        <v>1532</v>
      </c>
      <c r="H235" s="4">
        <f>IFERROR(__xludf.DUMMYFUNCTION("""COMPUTED_VALUE"""),473.0)</f>
        <v>473</v>
      </c>
      <c r="I235" s="2" t="str">
        <f>IFERROR(__xludf.DUMMYFUNCTION("""COMPUTED_VALUE"""),"random")</f>
        <v>random</v>
      </c>
      <c r="J235" s="2">
        <f t="shared" si="2"/>
        <v>18</v>
      </c>
      <c r="K235" s="2">
        <f t="shared" si="3"/>
        <v>1000000</v>
      </c>
      <c r="L235" s="2" t="str">
        <f t="shared" si="4"/>
        <v>P</v>
      </c>
    </row>
    <row r="236">
      <c r="A236" s="2" t="str">
        <f>IFERROR(__xludf.DUMMYFUNCTION("""COMPUTED_VALUE"""),"examples/random/dense_3000_2_9")</f>
        <v>examples/random/dense_3000_2_9</v>
      </c>
      <c r="B236" s="4">
        <f>IFERROR(__xludf.DUMMYFUNCTION("""COMPUTED_VALUE"""),182549.0)</f>
        <v>182549</v>
      </c>
      <c r="C236" s="4">
        <f>IFERROR(__xludf.DUMMYFUNCTION("""COMPUTED_VALUE"""),60.0)</f>
        <v>60</v>
      </c>
      <c r="D236" s="4">
        <f>IFERROR(__xludf.DUMMYFUNCTION("""COMPUTED_VALUE"""),60000.0)</f>
        <v>60000</v>
      </c>
      <c r="E236" s="4">
        <f>IFERROR(__xludf.DUMMYFUNCTION("""COMPUTED_VALUE"""),8495.0)</f>
        <v>8495</v>
      </c>
      <c r="F236" s="4">
        <f>IFERROR(__xludf.DUMMYFUNCTION("""COMPUTED_VALUE"""),18390.0)</f>
        <v>18390</v>
      </c>
      <c r="G236" s="4">
        <f>IFERROR(__xludf.DUMMYFUNCTION("""COMPUTED_VALUE"""),69.0)</f>
        <v>69</v>
      </c>
      <c r="H236" s="4">
        <f>IFERROR(__xludf.DUMMYFUNCTION("""COMPUTED_VALUE"""),39.0)</f>
        <v>39</v>
      </c>
      <c r="I236" s="2" t="str">
        <f>IFERROR(__xludf.DUMMYFUNCTION("""COMPUTED_VALUE"""),"random")</f>
        <v>random</v>
      </c>
      <c r="J236" s="2">
        <f t="shared" si="2"/>
        <v>16</v>
      </c>
      <c r="K236" s="2">
        <f t="shared" si="3"/>
        <v>200000</v>
      </c>
      <c r="L236" s="2" t="str">
        <f t="shared" si="4"/>
        <v>P</v>
      </c>
    </row>
    <row r="237">
      <c r="A237" s="2" t="str">
        <f>IFERROR(__xludf.DUMMYFUNCTION("""COMPUTED_VALUE"""),"examples/random/sparse_1000_1_10")</f>
        <v>examples/random/sparse_1000_1_10</v>
      </c>
      <c r="B237" s="4">
        <f>IFERROR(__xludf.DUMMYFUNCTION("""COMPUTED_VALUE"""),2000.0)</f>
        <v>2000</v>
      </c>
      <c r="C237" s="4">
        <f>IFERROR(__xludf.DUMMYFUNCTION("""COMPUTED_VALUE"""),60.0)</f>
        <v>60</v>
      </c>
      <c r="D237" s="4">
        <f>IFERROR(__xludf.DUMMYFUNCTION("""COMPUTED_VALUE"""),161.0)</f>
        <v>161</v>
      </c>
      <c r="E237" s="4">
        <f>IFERROR(__xludf.DUMMYFUNCTION("""COMPUTED_VALUE"""),2.0)</f>
        <v>2</v>
      </c>
      <c r="F237" s="4">
        <f>IFERROR(__xludf.DUMMYFUNCTION("""COMPUTED_VALUE"""),1.0)</f>
        <v>1</v>
      </c>
      <c r="G237" s="4">
        <f>IFERROR(__xludf.DUMMYFUNCTION("""COMPUTED_VALUE"""),9.0)</f>
        <v>9</v>
      </c>
      <c r="H237" s="4">
        <f>IFERROR(__xludf.DUMMYFUNCTION("""COMPUTED_VALUE"""),1.0)</f>
        <v>1</v>
      </c>
      <c r="I237" s="2" t="str">
        <f>IFERROR(__xludf.DUMMYFUNCTION("""COMPUTED_VALUE"""),"random")</f>
        <v>random</v>
      </c>
      <c r="J237" s="2">
        <f t="shared" si="2"/>
        <v>10</v>
      </c>
      <c r="K237" s="2">
        <f t="shared" si="3"/>
        <v>2000</v>
      </c>
      <c r="L237" s="2" t="str">
        <f t="shared" si="4"/>
        <v>BP</v>
      </c>
    </row>
    <row r="238">
      <c r="A238" s="2" t="str">
        <f>IFERROR(__xludf.DUMMYFUNCTION("""COMPUTED_VALUE"""),"examples/random/dense_3000_3_3")</f>
        <v>examples/random/dense_3000_3_3</v>
      </c>
      <c r="B238" s="4">
        <f>IFERROR(__xludf.DUMMYFUNCTION("""COMPUTED_VALUE"""),272468.0)</f>
        <v>272468</v>
      </c>
      <c r="C238" s="4">
        <f>IFERROR(__xludf.DUMMYFUNCTION("""COMPUTED_VALUE"""),60.0)</f>
        <v>60</v>
      </c>
      <c r="D238" s="4">
        <f>IFERROR(__xludf.DUMMYFUNCTION("""COMPUTED_VALUE"""),60000.0)</f>
        <v>60000</v>
      </c>
      <c r="E238" s="4">
        <f>IFERROR(__xludf.DUMMYFUNCTION("""COMPUTED_VALUE"""),12693.0)</f>
        <v>12693</v>
      </c>
      <c r="F238" s="4">
        <f>IFERROR(__xludf.DUMMYFUNCTION("""COMPUTED_VALUE"""),36296.0)</f>
        <v>36296</v>
      </c>
      <c r="G238" s="4">
        <f>IFERROR(__xludf.DUMMYFUNCTION("""COMPUTED_VALUE"""),96.0)</f>
        <v>96</v>
      </c>
      <c r="H238" s="4">
        <f>IFERROR(__xludf.DUMMYFUNCTION("""COMPUTED_VALUE"""),58.0)</f>
        <v>58</v>
      </c>
      <c r="I238" s="2" t="str">
        <f>IFERROR(__xludf.DUMMYFUNCTION("""COMPUTED_VALUE"""),"random")</f>
        <v>random</v>
      </c>
      <c r="J238" s="2">
        <f t="shared" si="2"/>
        <v>16</v>
      </c>
      <c r="K238" s="2">
        <f t="shared" si="3"/>
        <v>200000</v>
      </c>
      <c r="L238" s="2" t="str">
        <f t="shared" si="4"/>
        <v>P</v>
      </c>
    </row>
    <row r="239">
      <c r="A239" s="2" t="str">
        <f>IFERROR(__xludf.DUMMYFUNCTION("""COMPUTED_VALUE"""),"examples/random/sparse_30000_3_5")</f>
        <v>examples/random/sparse_30000_3_5</v>
      </c>
      <c r="B239" s="4">
        <f>IFERROR(__xludf.DUMMYFUNCTION("""COMPUTED_VALUE"""),120000.0)</f>
        <v>120000</v>
      </c>
      <c r="C239" s="4">
        <f>IFERROR(__xludf.DUMMYFUNCTION("""COMPUTED_VALUE"""),60.0)</f>
        <v>60</v>
      </c>
      <c r="D239" s="4">
        <f>IFERROR(__xludf.DUMMYFUNCTION("""COMPUTED_VALUE"""),60000.0)</f>
        <v>60000</v>
      </c>
      <c r="E239" s="4">
        <f>IFERROR(__xludf.DUMMYFUNCTION("""COMPUTED_VALUE"""),31955.0)</f>
        <v>31955</v>
      </c>
      <c r="F239" s="4">
        <f>IFERROR(__xludf.DUMMYFUNCTION("""COMPUTED_VALUE"""),56505.0)</f>
        <v>56505</v>
      </c>
      <c r="G239" s="4">
        <f>IFERROR(__xludf.DUMMYFUNCTION("""COMPUTED_VALUE"""),297.0)</f>
        <v>297</v>
      </c>
      <c r="H239" s="4">
        <f>IFERROR(__xludf.DUMMYFUNCTION("""COMPUTED_VALUE"""),68.0)</f>
        <v>68</v>
      </c>
      <c r="I239" s="2" t="str">
        <f>IFERROR(__xludf.DUMMYFUNCTION("""COMPUTED_VALUE"""),"random")</f>
        <v>random</v>
      </c>
      <c r="J239" s="2">
        <f t="shared" si="2"/>
        <v>15</v>
      </c>
      <c r="K239" s="2">
        <f t="shared" si="3"/>
        <v>100000</v>
      </c>
      <c r="L239" s="2" t="str">
        <f t="shared" si="4"/>
        <v>P</v>
      </c>
    </row>
    <row r="240">
      <c r="A240" s="2" t="str">
        <f>IFERROR(__xludf.DUMMYFUNCTION("""COMPUTED_VALUE"""),"examples/random/sparse_30000_10_9")</f>
        <v>examples/random/sparse_30000_10_9</v>
      </c>
      <c r="B240" s="4">
        <f>IFERROR(__xludf.DUMMYFUNCTION("""COMPUTED_VALUE"""),330000.0)</f>
        <v>330000</v>
      </c>
      <c r="C240" s="4">
        <f>IFERROR(__xludf.DUMMYFUNCTION("""COMPUTED_VALUE"""),60.0)</f>
        <v>60</v>
      </c>
      <c r="D240" s="4">
        <f>IFERROR(__xludf.DUMMYFUNCTION("""COMPUTED_VALUE"""),60000.0)</f>
        <v>60000</v>
      </c>
      <c r="E240" s="4">
        <f>IFERROR(__xludf.DUMMYFUNCTION("""COMPUTED_VALUE"""),60000.0)</f>
        <v>60000</v>
      </c>
      <c r="F240" s="4">
        <f>IFERROR(__xludf.DUMMYFUNCTION("""COMPUTED_VALUE"""),60000.0)</f>
        <v>60000</v>
      </c>
      <c r="G240" s="4">
        <f>IFERROR(__xludf.DUMMYFUNCTION("""COMPUTED_VALUE"""),444.0)</f>
        <v>444</v>
      </c>
      <c r="H240" s="4">
        <f>IFERROR(__xludf.DUMMYFUNCTION("""COMPUTED_VALUE"""),137.0)</f>
        <v>137</v>
      </c>
      <c r="I240" s="2" t="str">
        <f>IFERROR(__xludf.DUMMYFUNCTION("""COMPUTED_VALUE"""),"random")</f>
        <v>random</v>
      </c>
      <c r="J240" s="2">
        <f t="shared" si="2"/>
        <v>17</v>
      </c>
      <c r="K240" s="2">
        <f t="shared" si="3"/>
        <v>500000</v>
      </c>
      <c r="L240" s="2" t="str">
        <f t="shared" si="4"/>
        <v>P</v>
      </c>
    </row>
    <row r="241">
      <c r="A241" s="2" t="str">
        <f>IFERROR(__xludf.DUMMYFUNCTION("""COMPUTED_VALUE"""),"examples/random/dense_1000_2_2")</f>
        <v>examples/random/dense_1000_2_2</v>
      </c>
      <c r="B241" s="4">
        <f>IFERROR(__xludf.DUMMYFUNCTION("""COMPUTED_VALUE"""),20769.0)</f>
        <v>20769</v>
      </c>
      <c r="C241" s="4">
        <f>IFERROR(__xludf.DUMMYFUNCTION("""COMPUTED_VALUE"""),60.0)</f>
        <v>60</v>
      </c>
      <c r="D241" s="4">
        <f>IFERROR(__xludf.DUMMYFUNCTION("""COMPUTED_VALUE"""),60000.0)</f>
        <v>60000</v>
      </c>
      <c r="E241" s="4">
        <f>IFERROR(__xludf.DUMMYFUNCTION("""COMPUTED_VALUE"""),314.0)</f>
        <v>314</v>
      </c>
      <c r="F241" s="4">
        <f>IFERROR(__xludf.DUMMYFUNCTION("""COMPUTED_VALUE"""),429.0)</f>
        <v>429</v>
      </c>
      <c r="G241" s="4">
        <f>IFERROR(__xludf.DUMMYFUNCTION("""COMPUTED_VALUE"""),11.0)</f>
        <v>11</v>
      </c>
      <c r="H241" s="4">
        <f>IFERROR(__xludf.DUMMYFUNCTION("""COMPUTED_VALUE"""),4.0)</f>
        <v>4</v>
      </c>
      <c r="I241" s="2" t="str">
        <f>IFERROR(__xludf.DUMMYFUNCTION("""COMPUTED_VALUE"""),"random")</f>
        <v>random</v>
      </c>
      <c r="J241" s="2">
        <f t="shared" si="2"/>
        <v>13</v>
      </c>
      <c r="K241" s="2">
        <f t="shared" si="3"/>
        <v>20000</v>
      </c>
      <c r="L241" s="2" t="str">
        <f t="shared" si="4"/>
        <v>P</v>
      </c>
    </row>
    <row r="242">
      <c r="A242" s="2" t="str">
        <f>IFERROR(__xludf.DUMMYFUNCTION("""COMPUTED_VALUE"""),"examples/random/sparse_30000_3_10")</f>
        <v>examples/random/sparse_30000_3_10</v>
      </c>
      <c r="B242" s="4">
        <f>IFERROR(__xludf.DUMMYFUNCTION("""COMPUTED_VALUE"""),120000.0)</f>
        <v>120000</v>
      </c>
      <c r="C242" s="4">
        <f>IFERROR(__xludf.DUMMYFUNCTION("""COMPUTED_VALUE"""),60.0)</f>
        <v>60</v>
      </c>
      <c r="D242" s="4">
        <f>IFERROR(__xludf.DUMMYFUNCTION("""COMPUTED_VALUE"""),60000.0)</f>
        <v>60000</v>
      </c>
      <c r="E242" s="4">
        <f>IFERROR(__xludf.DUMMYFUNCTION("""COMPUTED_VALUE"""),31701.0)</f>
        <v>31701</v>
      </c>
      <c r="F242" s="4">
        <f>IFERROR(__xludf.DUMMYFUNCTION("""COMPUTED_VALUE"""),60000.0)</f>
        <v>60000</v>
      </c>
      <c r="G242" s="4">
        <f>IFERROR(__xludf.DUMMYFUNCTION("""COMPUTED_VALUE"""),607.0)</f>
        <v>607</v>
      </c>
      <c r="H242" s="4">
        <f>IFERROR(__xludf.DUMMYFUNCTION("""COMPUTED_VALUE"""),100.0)</f>
        <v>100</v>
      </c>
      <c r="I242" s="2" t="str">
        <f>IFERROR(__xludf.DUMMYFUNCTION("""COMPUTED_VALUE"""),"random")</f>
        <v>random</v>
      </c>
      <c r="J242" s="2">
        <f t="shared" si="2"/>
        <v>15</v>
      </c>
      <c r="K242" s="2">
        <f t="shared" si="3"/>
        <v>100000</v>
      </c>
      <c r="L242" s="2" t="str">
        <f t="shared" si="4"/>
        <v>P</v>
      </c>
    </row>
    <row r="243">
      <c r="A243" s="2" t="str">
        <f>IFERROR(__xludf.DUMMYFUNCTION("""COMPUTED_VALUE"""),"examples/random/sparse_10000_3_1")</f>
        <v>examples/random/sparse_10000_3_1</v>
      </c>
      <c r="B243" s="4">
        <f>IFERROR(__xludf.DUMMYFUNCTION("""COMPUTED_VALUE"""),40000.0)</f>
        <v>40000</v>
      </c>
      <c r="C243" s="4">
        <f>IFERROR(__xludf.DUMMYFUNCTION("""COMPUTED_VALUE"""),60.0)</f>
        <v>60</v>
      </c>
      <c r="D243" s="4">
        <f>IFERROR(__xludf.DUMMYFUNCTION("""COMPUTED_VALUE"""),60000.0)</f>
        <v>60000</v>
      </c>
      <c r="E243" s="4">
        <f>IFERROR(__xludf.DUMMYFUNCTION("""COMPUTED_VALUE"""),3331.0)</f>
        <v>3331</v>
      </c>
      <c r="F243" s="4">
        <f>IFERROR(__xludf.DUMMYFUNCTION("""COMPUTED_VALUE"""),5754.0)</f>
        <v>5754</v>
      </c>
      <c r="G243" s="4">
        <f>IFERROR(__xludf.DUMMYFUNCTION("""COMPUTED_VALUE"""),92.0)</f>
        <v>92</v>
      </c>
      <c r="H243" s="4">
        <f>IFERROR(__xludf.DUMMYFUNCTION("""COMPUTED_VALUE"""),22.0)</f>
        <v>22</v>
      </c>
      <c r="I243" s="2" t="str">
        <f>IFERROR(__xludf.DUMMYFUNCTION("""COMPUTED_VALUE"""),"random")</f>
        <v>random</v>
      </c>
      <c r="J243" s="2">
        <f t="shared" si="2"/>
        <v>14</v>
      </c>
      <c r="K243" s="2">
        <f t="shared" si="3"/>
        <v>50000</v>
      </c>
      <c r="L243" s="2" t="str">
        <f t="shared" si="4"/>
        <v>P</v>
      </c>
    </row>
    <row r="244">
      <c r="A244" s="2" t="str">
        <f>IFERROR(__xludf.DUMMYFUNCTION("""COMPUTED_VALUE"""),"examples/random/dense_10000_2_6")</f>
        <v>examples/random/dense_10000_2_6</v>
      </c>
      <c r="B244" s="4">
        <f>IFERROR(__xludf.DUMMYFUNCTION("""COMPUTED_VALUE"""),2011967.0)</f>
        <v>2011967</v>
      </c>
      <c r="C244" s="4">
        <f>IFERROR(__xludf.DUMMYFUNCTION("""COMPUTED_VALUE"""),60.0)</f>
        <v>60</v>
      </c>
      <c r="D244" s="4">
        <f>IFERROR(__xludf.DUMMYFUNCTION("""COMPUTED_VALUE"""),60000.0)</f>
        <v>60000</v>
      </c>
      <c r="E244" s="4">
        <f>IFERROR(__xludf.DUMMYFUNCTION("""COMPUTED_VALUE"""),60000.0)</f>
        <v>60000</v>
      </c>
      <c r="F244" s="4">
        <f>IFERROR(__xludf.DUMMYFUNCTION("""COMPUTED_VALUE"""),60000.0)</f>
        <v>60000</v>
      </c>
      <c r="G244" s="4">
        <f>IFERROR(__xludf.DUMMYFUNCTION("""COMPUTED_VALUE"""),710.0)</f>
        <v>710</v>
      </c>
      <c r="H244" s="4">
        <f>IFERROR(__xludf.DUMMYFUNCTION("""COMPUTED_VALUE"""),444.0)</f>
        <v>444</v>
      </c>
      <c r="I244" s="2" t="str">
        <f>IFERROR(__xludf.DUMMYFUNCTION("""COMPUTED_VALUE"""),"random")</f>
        <v>random</v>
      </c>
      <c r="J244" s="2">
        <f t="shared" si="2"/>
        <v>19</v>
      </c>
      <c r="K244" s="2">
        <f t="shared" si="3"/>
        <v>2000000</v>
      </c>
      <c r="L244" s="2" t="str">
        <f t="shared" si="4"/>
        <v>P</v>
      </c>
    </row>
    <row r="245">
      <c r="A245" s="2" t="str">
        <f>IFERROR(__xludf.DUMMYFUNCTION("""COMPUTED_VALUE"""),"examples/random/sparse_1000_10_3")</f>
        <v>examples/random/sparse_1000_10_3</v>
      </c>
      <c r="B245" s="4">
        <f>IFERROR(__xludf.DUMMYFUNCTION("""COMPUTED_VALUE"""),11000.0)</f>
        <v>11000</v>
      </c>
      <c r="C245" s="4">
        <f>IFERROR(__xludf.DUMMYFUNCTION("""COMPUTED_VALUE"""),60.0)</f>
        <v>60</v>
      </c>
      <c r="D245" s="4">
        <f>IFERROR(__xludf.DUMMYFUNCTION("""COMPUTED_VALUE"""),60000.0)</f>
        <v>60000</v>
      </c>
      <c r="E245" s="4">
        <f>IFERROR(__xludf.DUMMYFUNCTION("""COMPUTED_VALUE"""),150.0)</f>
        <v>150</v>
      </c>
      <c r="F245" s="4">
        <f>IFERROR(__xludf.DUMMYFUNCTION("""COMPUTED_VALUE"""),211.0)</f>
        <v>211</v>
      </c>
      <c r="G245" s="4">
        <f>IFERROR(__xludf.DUMMYFUNCTION("""COMPUTED_VALUE"""),11.0)</f>
        <v>11</v>
      </c>
      <c r="H245" s="4">
        <f>IFERROR(__xludf.DUMMYFUNCTION("""COMPUTED_VALUE"""),4.0)</f>
        <v>4</v>
      </c>
      <c r="I245" s="2" t="str">
        <f>IFERROR(__xludf.DUMMYFUNCTION("""COMPUTED_VALUE"""),"random")</f>
        <v>random</v>
      </c>
      <c r="J245" s="2">
        <f t="shared" si="2"/>
        <v>12</v>
      </c>
      <c r="K245" s="2">
        <f t="shared" si="3"/>
        <v>10000</v>
      </c>
      <c r="L245" s="2" t="str">
        <f t="shared" si="4"/>
        <v>P</v>
      </c>
    </row>
    <row r="246">
      <c r="A246" s="2" t="str">
        <f>IFERROR(__xludf.DUMMYFUNCTION("""COMPUTED_VALUE"""),"examples/random/sparse_1000_1_6")</f>
        <v>examples/random/sparse_1000_1_6</v>
      </c>
      <c r="B246" s="4">
        <f>IFERROR(__xludf.DUMMYFUNCTION("""COMPUTED_VALUE"""),2000.0)</f>
        <v>2000</v>
      </c>
      <c r="C246" s="4">
        <f>IFERROR(__xludf.DUMMYFUNCTION("""COMPUTED_VALUE"""),60.0)</f>
        <v>60</v>
      </c>
      <c r="D246" s="4">
        <f>IFERROR(__xludf.DUMMYFUNCTION("""COMPUTED_VALUE"""),176.0)</f>
        <v>176</v>
      </c>
      <c r="E246" s="4">
        <f>IFERROR(__xludf.DUMMYFUNCTION("""COMPUTED_VALUE"""),1.0)</f>
        <v>1</v>
      </c>
      <c r="F246" s="4">
        <f>IFERROR(__xludf.DUMMYFUNCTION("""COMPUTED_VALUE"""),1.0)</f>
        <v>1</v>
      </c>
      <c r="G246" s="4">
        <f>IFERROR(__xludf.DUMMYFUNCTION("""COMPUTED_VALUE"""),9.0)</f>
        <v>9</v>
      </c>
      <c r="H246" s="4">
        <f>IFERROR(__xludf.DUMMYFUNCTION("""COMPUTED_VALUE"""),1.0)</f>
        <v>1</v>
      </c>
      <c r="I246" s="2" t="str">
        <f>IFERROR(__xludf.DUMMYFUNCTION("""COMPUTED_VALUE"""),"random")</f>
        <v>random</v>
      </c>
      <c r="J246" s="2">
        <f t="shared" si="2"/>
        <v>10</v>
      </c>
      <c r="K246" s="2">
        <f t="shared" si="3"/>
        <v>2000</v>
      </c>
      <c r="L246" s="2" t="str">
        <f t="shared" si="4"/>
        <v>BP</v>
      </c>
    </row>
    <row r="247">
      <c r="A247" s="2" t="str">
        <f>IFERROR(__xludf.DUMMYFUNCTION("""COMPUTED_VALUE"""),"examples/random/sparse_3000_2_9")</f>
        <v>examples/random/sparse_3000_2_9</v>
      </c>
      <c r="B247" s="4">
        <f>IFERROR(__xludf.DUMMYFUNCTION("""COMPUTED_VALUE"""),9000.0)</f>
        <v>9000</v>
      </c>
      <c r="C247" s="4">
        <f>IFERROR(__xludf.DUMMYFUNCTION("""COMPUTED_VALUE"""),60.0)</f>
        <v>60</v>
      </c>
      <c r="D247" s="4">
        <f>IFERROR(__xludf.DUMMYFUNCTION("""COMPUTED_VALUE"""),60000.0)</f>
        <v>60000</v>
      </c>
      <c r="E247" s="4">
        <f>IFERROR(__xludf.DUMMYFUNCTION("""COMPUTED_VALUE"""),154.0)</f>
        <v>154</v>
      </c>
      <c r="F247" s="4">
        <f>IFERROR(__xludf.DUMMYFUNCTION("""COMPUTED_VALUE"""),231.0)</f>
        <v>231</v>
      </c>
      <c r="G247" s="4">
        <f>IFERROR(__xludf.DUMMYFUNCTION("""COMPUTED_VALUE"""),25.0)</f>
        <v>25</v>
      </c>
      <c r="H247" s="4">
        <f>IFERROR(__xludf.DUMMYFUNCTION("""COMPUTED_VALUE"""),4.0)</f>
        <v>4</v>
      </c>
      <c r="I247" s="2" t="str">
        <f>IFERROR(__xludf.DUMMYFUNCTION("""COMPUTED_VALUE"""),"random")</f>
        <v>random</v>
      </c>
      <c r="J247" s="2">
        <f t="shared" si="2"/>
        <v>12</v>
      </c>
      <c r="K247" s="2">
        <f t="shared" si="3"/>
        <v>10000</v>
      </c>
      <c r="L247" s="2" t="str">
        <f t="shared" si="4"/>
        <v>P</v>
      </c>
    </row>
    <row r="248">
      <c r="A248" s="2" t="str">
        <f>IFERROR(__xludf.DUMMYFUNCTION("""COMPUTED_VALUE"""),"examples/random/sparse_1000_10_10")</f>
        <v>examples/random/sparse_1000_10_10</v>
      </c>
      <c r="B248" s="4">
        <f>IFERROR(__xludf.DUMMYFUNCTION("""COMPUTED_VALUE"""),11000.0)</f>
        <v>11000</v>
      </c>
      <c r="C248" s="4">
        <f>IFERROR(__xludf.DUMMYFUNCTION("""COMPUTED_VALUE"""),60.0)</f>
        <v>60</v>
      </c>
      <c r="D248" s="4">
        <f>IFERROR(__xludf.DUMMYFUNCTION("""COMPUTED_VALUE"""),60000.0)</f>
        <v>60000</v>
      </c>
      <c r="E248" s="4">
        <f>IFERROR(__xludf.DUMMYFUNCTION("""COMPUTED_VALUE"""),153.0)</f>
        <v>153</v>
      </c>
      <c r="F248" s="4">
        <f>IFERROR(__xludf.DUMMYFUNCTION("""COMPUTED_VALUE"""),212.0)</f>
        <v>212</v>
      </c>
      <c r="G248" s="4">
        <f>IFERROR(__xludf.DUMMYFUNCTION("""COMPUTED_VALUE"""),9.0)</f>
        <v>9</v>
      </c>
      <c r="H248" s="4">
        <f>IFERROR(__xludf.DUMMYFUNCTION("""COMPUTED_VALUE"""),3.0)</f>
        <v>3</v>
      </c>
      <c r="I248" s="2" t="str">
        <f>IFERROR(__xludf.DUMMYFUNCTION("""COMPUTED_VALUE"""),"random")</f>
        <v>random</v>
      </c>
      <c r="J248" s="2">
        <f t="shared" si="2"/>
        <v>12</v>
      </c>
      <c r="K248" s="2">
        <f t="shared" si="3"/>
        <v>10000</v>
      </c>
      <c r="L248" s="2" t="str">
        <f t="shared" si="4"/>
        <v>P</v>
      </c>
    </row>
    <row r="249">
      <c r="A249" s="2" t="str">
        <f>IFERROR(__xludf.DUMMYFUNCTION("""COMPUTED_VALUE"""),"examples/random/sparse_3000_10_7")</f>
        <v>examples/random/sparse_3000_10_7</v>
      </c>
      <c r="B249" s="4">
        <f>IFERROR(__xludf.DUMMYFUNCTION("""COMPUTED_VALUE"""),33000.0)</f>
        <v>33000</v>
      </c>
      <c r="C249" s="4">
        <f>IFERROR(__xludf.DUMMYFUNCTION("""COMPUTED_VALUE"""),60.0)</f>
        <v>60</v>
      </c>
      <c r="D249" s="4">
        <f>IFERROR(__xludf.DUMMYFUNCTION("""COMPUTED_VALUE"""),60000.0)</f>
        <v>60000</v>
      </c>
      <c r="E249" s="4">
        <f>IFERROR(__xludf.DUMMYFUNCTION("""COMPUTED_VALUE"""),1386.0)</f>
        <v>1386</v>
      </c>
      <c r="F249" s="4">
        <f>IFERROR(__xludf.DUMMYFUNCTION("""COMPUTED_VALUE"""),2000.0)</f>
        <v>2000</v>
      </c>
      <c r="G249" s="4">
        <f>IFERROR(__xludf.DUMMYFUNCTION("""COMPUTED_VALUE"""),29.0)</f>
        <v>29</v>
      </c>
      <c r="H249" s="4">
        <f>IFERROR(__xludf.DUMMYFUNCTION("""COMPUTED_VALUE"""),10.0)</f>
        <v>10</v>
      </c>
      <c r="I249" s="2" t="str">
        <f>IFERROR(__xludf.DUMMYFUNCTION("""COMPUTED_VALUE"""),"random")</f>
        <v>random</v>
      </c>
      <c r="J249" s="2">
        <f t="shared" si="2"/>
        <v>14</v>
      </c>
      <c r="K249" s="2">
        <f t="shared" si="3"/>
        <v>50000</v>
      </c>
      <c r="L249" s="2" t="str">
        <f t="shared" si="4"/>
        <v>P</v>
      </c>
    </row>
    <row r="250">
      <c r="A250" s="2" t="str">
        <f>IFERROR(__xludf.DUMMYFUNCTION("""COMPUTED_VALUE"""),"examples/random/sparse_100000_1_2")</f>
        <v>examples/random/sparse_100000_1_2</v>
      </c>
      <c r="B250" s="4">
        <f>IFERROR(__xludf.DUMMYFUNCTION("""COMPUTED_VALUE"""),200000.0)</f>
        <v>200000</v>
      </c>
      <c r="C250" s="4">
        <f>IFERROR(__xludf.DUMMYFUNCTION("""COMPUTED_VALUE"""),60.0)</f>
        <v>60</v>
      </c>
      <c r="D250" s="4">
        <f>IFERROR(__xludf.DUMMYFUNCTION("""COMPUTED_VALUE"""),60000.0)</f>
        <v>60000</v>
      </c>
      <c r="E250" s="4">
        <f>IFERROR(__xludf.DUMMYFUNCTION("""COMPUTED_VALUE"""),506.0)</f>
        <v>506</v>
      </c>
      <c r="F250" s="4">
        <f>IFERROR(__xludf.DUMMYFUNCTION("""COMPUTED_VALUE"""),346.0)</f>
        <v>346</v>
      </c>
      <c r="G250" s="4">
        <f>IFERROR(__xludf.DUMMYFUNCTION("""COMPUTED_VALUE"""),1561.0)</f>
        <v>1561</v>
      </c>
      <c r="H250" s="4">
        <f>IFERROR(__xludf.DUMMYFUNCTION("""COMPUTED_VALUE"""),204.0)</f>
        <v>204</v>
      </c>
      <c r="I250" s="2" t="str">
        <f>IFERROR(__xludf.DUMMYFUNCTION("""COMPUTED_VALUE"""),"random")</f>
        <v>random</v>
      </c>
      <c r="J250" s="2">
        <f t="shared" si="2"/>
        <v>16</v>
      </c>
      <c r="K250" s="2">
        <f t="shared" si="3"/>
        <v>200000</v>
      </c>
      <c r="L250" s="2" t="str">
        <f t="shared" si="4"/>
        <v>P</v>
      </c>
    </row>
    <row r="251">
      <c r="A251" s="2" t="str">
        <f>IFERROR(__xludf.DUMMYFUNCTION("""COMPUTED_VALUE"""),"examples/random/sparse_1000_3_8")</f>
        <v>examples/random/sparse_1000_3_8</v>
      </c>
      <c r="B251" s="4">
        <f>IFERROR(__xludf.DUMMYFUNCTION("""COMPUTED_VALUE"""),4000.0)</f>
        <v>4000</v>
      </c>
      <c r="C251" s="4">
        <f>IFERROR(__xludf.DUMMYFUNCTION("""COMPUTED_VALUE"""),60.0)</f>
        <v>60</v>
      </c>
      <c r="D251" s="4">
        <f>IFERROR(__xludf.DUMMYFUNCTION("""COMPUTED_VALUE"""),13015.0)</f>
        <v>13015</v>
      </c>
      <c r="E251" s="4">
        <f>IFERROR(__xludf.DUMMYFUNCTION("""COMPUTED_VALUE"""),29.0)</f>
        <v>29</v>
      </c>
      <c r="F251" s="4">
        <f>IFERROR(__xludf.DUMMYFUNCTION("""COMPUTED_VALUE"""),53.0)</f>
        <v>53</v>
      </c>
      <c r="G251" s="4">
        <f>IFERROR(__xludf.DUMMYFUNCTION("""COMPUTED_VALUE"""),7.0)</f>
        <v>7</v>
      </c>
      <c r="H251" s="4">
        <f>IFERROR(__xludf.DUMMYFUNCTION("""COMPUTED_VALUE"""),1.0)</f>
        <v>1</v>
      </c>
      <c r="I251" s="2" t="str">
        <f>IFERROR(__xludf.DUMMYFUNCTION("""COMPUTED_VALUE"""),"random")</f>
        <v>random</v>
      </c>
      <c r="J251" s="2">
        <f t="shared" si="2"/>
        <v>11</v>
      </c>
      <c r="K251" s="2">
        <f t="shared" si="3"/>
        <v>5000</v>
      </c>
      <c r="L251" s="2" t="str">
        <f t="shared" si="4"/>
        <v>P</v>
      </c>
    </row>
    <row r="252">
      <c r="A252" s="2" t="str">
        <f>IFERROR(__xludf.DUMMYFUNCTION("""COMPUTED_VALUE"""),"examples/random/dense_300_2_4")</f>
        <v>examples/random/dense_300_2_4</v>
      </c>
      <c r="B252" s="4">
        <f>IFERROR(__xludf.DUMMYFUNCTION("""COMPUTED_VALUE"""),2021.0)</f>
        <v>2021</v>
      </c>
      <c r="C252" s="4">
        <f>IFERROR(__xludf.DUMMYFUNCTION("""COMPUTED_VALUE"""),60.0)</f>
        <v>60</v>
      </c>
      <c r="D252" s="4">
        <f>IFERROR(__xludf.DUMMYFUNCTION("""COMPUTED_VALUE"""),742.0)</f>
        <v>742</v>
      </c>
      <c r="E252" s="4">
        <f>IFERROR(__xludf.DUMMYFUNCTION("""COMPUTED_VALUE"""),6.0)</f>
        <v>6</v>
      </c>
      <c r="F252" s="4">
        <f>IFERROR(__xludf.DUMMYFUNCTION("""COMPUTED_VALUE"""),9.0)</f>
        <v>9</v>
      </c>
      <c r="G252" s="4">
        <f>IFERROR(__xludf.DUMMYFUNCTION("""COMPUTED_VALUE"""),2.0)</f>
        <v>2</v>
      </c>
      <c r="H252" s="4">
        <f>IFERROR(__xludf.DUMMYFUNCTION("""COMPUTED_VALUE"""),0.0)</f>
        <v>0</v>
      </c>
      <c r="I252" s="2" t="str">
        <f>IFERROR(__xludf.DUMMYFUNCTION("""COMPUTED_VALUE"""),"random")</f>
        <v>random</v>
      </c>
      <c r="J252" s="2">
        <f t="shared" si="2"/>
        <v>10</v>
      </c>
      <c r="K252" s="2">
        <f t="shared" si="3"/>
        <v>2000</v>
      </c>
      <c r="L252" s="2" t="str">
        <f t="shared" si="4"/>
        <v>P</v>
      </c>
    </row>
    <row r="253">
      <c r="A253" s="2" t="str">
        <f>IFERROR(__xludf.DUMMYFUNCTION("""COMPUTED_VALUE"""),"examples/random/sparse_1000_2_2")</f>
        <v>examples/random/sparse_1000_2_2</v>
      </c>
      <c r="B253" s="4">
        <f>IFERROR(__xludf.DUMMYFUNCTION("""COMPUTED_VALUE"""),3000.0)</f>
        <v>3000</v>
      </c>
      <c r="C253" s="4">
        <f>IFERROR(__xludf.DUMMYFUNCTION("""COMPUTED_VALUE"""),60.0)</f>
        <v>60</v>
      </c>
      <c r="D253" s="4">
        <f>IFERROR(__xludf.DUMMYFUNCTION("""COMPUTED_VALUE"""),5211.0)</f>
        <v>5211</v>
      </c>
      <c r="E253" s="4">
        <f>IFERROR(__xludf.DUMMYFUNCTION("""COMPUTED_VALUE"""),13.0)</f>
        <v>13</v>
      </c>
      <c r="F253" s="4">
        <f>IFERROR(__xludf.DUMMYFUNCTION("""COMPUTED_VALUE"""),24.0)</f>
        <v>24</v>
      </c>
      <c r="G253" s="4">
        <f>IFERROR(__xludf.DUMMYFUNCTION("""COMPUTED_VALUE"""),8.0)</f>
        <v>8</v>
      </c>
      <c r="H253" s="4">
        <f>IFERROR(__xludf.DUMMYFUNCTION("""COMPUTED_VALUE"""),1.0)</f>
        <v>1</v>
      </c>
      <c r="I253" s="2" t="str">
        <f>IFERROR(__xludf.DUMMYFUNCTION("""COMPUTED_VALUE"""),"random")</f>
        <v>random</v>
      </c>
      <c r="J253" s="2">
        <f t="shared" si="2"/>
        <v>10</v>
      </c>
      <c r="K253" s="2">
        <f t="shared" si="3"/>
        <v>2000</v>
      </c>
      <c r="L253" s="2" t="str">
        <f t="shared" si="4"/>
        <v>P</v>
      </c>
    </row>
    <row r="254">
      <c r="A254" s="2" t="str">
        <f>IFERROR(__xludf.DUMMYFUNCTION("""COMPUTED_VALUE"""),"examples/random/sparse_3000_3_3")</f>
        <v>examples/random/sparse_3000_3_3</v>
      </c>
      <c r="B254" s="4">
        <f>IFERROR(__xludf.DUMMYFUNCTION("""COMPUTED_VALUE"""),12000.0)</f>
        <v>12000</v>
      </c>
      <c r="C254" s="4">
        <f>IFERROR(__xludf.DUMMYFUNCTION("""COMPUTED_VALUE"""),60.0)</f>
        <v>60</v>
      </c>
      <c r="D254" s="4">
        <f>IFERROR(__xludf.DUMMYFUNCTION("""COMPUTED_VALUE"""),60000.0)</f>
        <v>60000</v>
      </c>
      <c r="E254" s="4">
        <f>IFERROR(__xludf.DUMMYFUNCTION("""COMPUTED_VALUE"""),272.0)</f>
        <v>272</v>
      </c>
      <c r="F254" s="4">
        <f>IFERROR(__xludf.DUMMYFUNCTION("""COMPUTED_VALUE"""),502.0)</f>
        <v>502</v>
      </c>
      <c r="G254" s="4">
        <f>IFERROR(__xludf.DUMMYFUNCTION("""COMPUTED_VALUE"""),25.0)</f>
        <v>25</v>
      </c>
      <c r="H254" s="4">
        <f>IFERROR(__xludf.DUMMYFUNCTION("""COMPUTED_VALUE"""),5.0)</f>
        <v>5</v>
      </c>
      <c r="I254" s="2" t="str">
        <f>IFERROR(__xludf.DUMMYFUNCTION("""COMPUTED_VALUE"""),"random")</f>
        <v>random</v>
      </c>
      <c r="J254" s="2">
        <f t="shared" si="2"/>
        <v>12</v>
      </c>
      <c r="K254" s="2">
        <f t="shared" si="3"/>
        <v>10000</v>
      </c>
      <c r="L254" s="2" t="str">
        <f t="shared" si="4"/>
        <v>P</v>
      </c>
    </row>
    <row r="255">
      <c r="A255" s="2" t="str">
        <f>IFERROR(__xludf.DUMMYFUNCTION("""COMPUTED_VALUE"""),"examples/random/sparse_100000_2_6")</f>
        <v>examples/random/sparse_100000_2_6</v>
      </c>
      <c r="B255" s="4">
        <f>IFERROR(__xludf.DUMMYFUNCTION("""COMPUTED_VALUE"""),300000.0)</f>
        <v>300000</v>
      </c>
      <c r="C255" s="4">
        <f>IFERROR(__xludf.DUMMYFUNCTION("""COMPUTED_VALUE"""),60.0)</f>
        <v>60</v>
      </c>
      <c r="D255" s="4">
        <f>IFERROR(__xludf.DUMMYFUNCTION("""COMPUTED_VALUE"""),60000.0)</f>
        <v>60000</v>
      </c>
      <c r="E255" s="4">
        <f>IFERROR(__xludf.DUMMYFUNCTION("""COMPUTED_VALUE"""),60000.0)</f>
        <v>60000</v>
      </c>
      <c r="F255" s="4">
        <f>IFERROR(__xludf.DUMMYFUNCTION("""COMPUTED_VALUE"""),60000.0)</f>
        <v>60000</v>
      </c>
      <c r="G255" s="4">
        <f>IFERROR(__xludf.DUMMYFUNCTION("""COMPUTED_VALUE"""),1244.0)</f>
        <v>1244</v>
      </c>
      <c r="H255" s="4">
        <f>IFERROR(__xludf.DUMMYFUNCTION("""COMPUTED_VALUE"""),260.0)</f>
        <v>260</v>
      </c>
      <c r="I255" s="2" t="str">
        <f>IFERROR(__xludf.DUMMYFUNCTION("""COMPUTED_VALUE"""),"random")</f>
        <v>random</v>
      </c>
      <c r="J255" s="2">
        <f t="shared" si="2"/>
        <v>16</v>
      </c>
      <c r="K255" s="2">
        <f t="shared" si="3"/>
        <v>200000</v>
      </c>
      <c r="L255" s="2" t="str">
        <f t="shared" si="4"/>
        <v>P</v>
      </c>
    </row>
    <row r="256">
      <c r="A256" s="2" t="str">
        <f>IFERROR(__xludf.DUMMYFUNCTION("""COMPUTED_VALUE"""),"examples/random/sparse_30000_10_10")</f>
        <v>examples/random/sparse_30000_10_10</v>
      </c>
      <c r="B256" s="4">
        <f>IFERROR(__xludf.DUMMYFUNCTION("""COMPUTED_VALUE"""),330000.0)</f>
        <v>330000</v>
      </c>
      <c r="C256" s="4">
        <f>IFERROR(__xludf.DUMMYFUNCTION("""COMPUTED_VALUE"""),60.0)</f>
        <v>60</v>
      </c>
      <c r="D256" s="4">
        <f>IFERROR(__xludf.DUMMYFUNCTION("""COMPUTED_VALUE"""),60000.0)</f>
        <v>60000</v>
      </c>
      <c r="E256" s="4">
        <f>IFERROR(__xludf.DUMMYFUNCTION("""COMPUTED_VALUE"""),60000.0)</f>
        <v>60000</v>
      </c>
      <c r="F256" s="4">
        <f>IFERROR(__xludf.DUMMYFUNCTION("""COMPUTED_VALUE"""),60000.0)</f>
        <v>60000</v>
      </c>
      <c r="G256" s="4">
        <f>IFERROR(__xludf.DUMMYFUNCTION("""COMPUTED_VALUE"""),369.0)</f>
        <v>369</v>
      </c>
      <c r="H256" s="4">
        <f>IFERROR(__xludf.DUMMYFUNCTION("""COMPUTED_VALUE"""),115.0)</f>
        <v>115</v>
      </c>
      <c r="I256" s="2" t="str">
        <f>IFERROR(__xludf.DUMMYFUNCTION("""COMPUTED_VALUE"""),"random")</f>
        <v>random</v>
      </c>
      <c r="J256" s="2">
        <f t="shared" si="2"/>
        <v>17</v>
      </c>
      <c r="K256" s="2">
        <f t="shared" si="3"/>
        <v>500000</v>
      </c>
      <c r="L256" s="2" t="str">
        <f t="shared" si="4"/>
        <v>P</v>
      </c>
    </row>
    <row r="257">
      <c r="A257" s="2" t="str">
        <f>IFERROR(__xludf.DUMMYFUNCTION("""COMPUTED_VALUE"""),"examples/random/dense_100_3_3")</f>
        <v>examples/random/dense_100_3_3</v>
      </c>
      <c r="B257" s="4">
        <f>IFERROR(__xludf.DUMMYFUNCTION("""COMPUTED_VALUE"""),420.0)</f>
        <v>420</v>
      </c>
      <c r="C257" s="4">
        <f>IFERROR(__xludf.DUMMYFUNCTION("""COMPUTED_VALUE"""),60.0)</f>
        <v>60</v>
      </c>
      <c r="D257" s="4">
        <f>IFERROR(__xludf.DUMMYFUNCTION("""COMPUTED_VALUE"""),15.0)</f>
        <v>15</v>
      </c>
      <c r="E257" s="4">
        <f>IFERROR(__xludf.DUMMYFUNCTION("""COMPUTED_VALUE"""),0.0)</f>
        <v>0</v>
      </c>
      <c r="F257" s="4">
        <f>IFERROR(__xludf.DUMMYFUNCTION("""COMPUTED_VALUE"""),0.0)</f>
        <v>0</v>
      </c>
      <c r="G257" s="4">
        <f>IFERROR(__xludf.DUMMYFUNCTION("""COMPUTED_VALUE"""),0.0)</f>
        <v>0</v>
      </c>
      <c r="H257" s="4">
        <f>IFERROR(__xludf.DUMMYFUNCTION("""COMPUTED_VALUE"""),0.0)</f>
        <v>0</v>
      </c>
      <c r="I257" s="2" t="str">
        <f>IFERROR(__xludf.DUMMYFUNCTION("""COMPUTED_VALUE"""),"random")</f>
        <v>random</v>
      </c>
      <c r="J257" s="2">
        <f t="shared" si="2"/>
        <v>8</v>
      </c>
      <c r="K257" s="2">
        <f t="shared" si="3"/>
        <v>500</v>
      </c>
      <c r="L257" s="2">
        <f t="shared" si="4"/>
        <v>0</v>
      </c>
    </row>
    <row r="258">
      <c r="A258" s="2" t="str">
        <f>IFERROR(__xludf.DUMMYFUNCTION("""COMPUTED_VALUE"""),"examples/random/dense_10000_1_2")</f>
        <v>examples/random/dense_10000_1_2</v>
      </c>
      <c r="B258" s="4">
        <f>IFERROR(__xludf.DUMMYFUNCTION("""COMPUTED_VALUE"""),1012150.0)</f>
        <v>1012150</v>
      </c>
      <c r="C258" s="4">
        <f>IFERROR(__xludf.DUMMYFUNCTION("""COMPUTED_VALUE"""),60.0)</f>
        <v>60</v>
      </c>
      <c r="D258" s="4">
        <f>IFERROR(__xludf.DUMMYFUNCTION("""COMPUTED_VALUE"""),60000.0)</f>
        <v>60000</v>
      </c>
      <c r="E258" s="4">
        <f>IFERROR(__xludf.DUMMYFUNCTION("""COMPUTED_VALUE"""),60000.0)</f>
        <v>60000</v>
      </c>
      <c r="F258" s="4">
        <f>IFERROR(__xludf.DUMMYFUNCTION("""COMPUTED_VALUE"""),60000.0)</f>
        <v>60000</v>
      </c>
      <c r="G258" s="4">
        <f>IFERROR(__xludf.DUMMYFUNCTION("""COMPUTED_VALUE"""),361.0)</f>
        <v>361</v>
      </c>
      <c r="H258" s="4">
        <f>IFERROR(__xludf.DUMMYFUNCTION("""COMPUTED_VALUE"""),224.0)</f>
        <v>224</v>
      </c>
      <c r="I258" s="2" t="str">
        <f>IFERROR(__xludf.DUMMYFUNCTION("""COMPUTED_VALUE"""),"random")</f>
        <v>random</v>
      </c>
      <c r="J258" s="2">
        <f t="shared" si="2"/>
        <v>18</v>
      </c>
      <c r="K258" s="2">
        <f t="shared" si="3"/>
        <v>1000000</v>
      </c>
      <c r="L258" s="2" t="str">
        <f t="shared" si="4"/>
        <v>P</v>
      </c>
    </row>
    <row r="259">
      <c r="A259" s="2" t="str">
        <f>IFERROR(__xludf.DUMMYFUNCTION("""COMPUTED_VALUE"""),"examples/random/sparse_300_10_10")</f>
        <v>examples/random/sparse_300_10_10</v>
      </c>
      <c r="B259" s="4">
        <f>IFERROR(__xludf.DUMMYFUNCTION("""COMPUTED_VALUE"""),3300.0)</f>
        <v>3300</v>
      </c>
      <c r="C259" s="4">
        <f>IFERROR(__xludf.DUMMYFUNCTION("""COMPUTED_VALUE"""),60.0)</f>
        <v>60</v>
      </c>
      <c r="D259" s="4">
        <f>IFERROR(__xludf.DUMMYFUNCTION("""COMPUTED_VALUE"""),1284.0)</f>
        <v>1284</v>
      </c>
      <c r="E259" s="4">
        <f>IFERROR(__xludf.DUMMYFUNCTION("""COMPUTED_VALUE"""),13.0)</f>
        <v>13</v>
      </c>
      <c r="F259" s="4">
        <f>IFERROR(__xludf.DUMMYFUNCTION("""COMPUTED_VALUE"""),19.0)</f>
        <v>19</v>
      </c>
      <c r="G259" s="4">
        <f>IFERROR(__xludf.DUMMYFUNCTION("""COMPUTED_VALUE"""),2.0)</f>
        <v>2</v>
      </c>
      <c r="H259" s="4">
        <f>IFERROR(__xludf.DUMMYFUNCTION("""COMPUTED_VALUE"""),0.0)</f>
        <v>0</v>
      </c>
      <c r="I259" s="2" t="str">
        <f>IFERROR(__xludf.DUMMYFUNCTION("""COMPUTED_VALUE"""),"random")</f>
        <v>random</v>
      </c>
      <c r="J259" s="2">
        <f t="shared" si="2"/>
        <v>11</v>
      </c>
      <c r="K259" s="2">
        <f t="shared" si="3"/>
        <v>5000</v>
      </c>
      <c r="L259" s="2" t="str">
        <f t="shared" si="4"/>
        <v>P</v>
      </c>
    </row>
    <row r="260">
      <c r="A260" s="2" t="str">
        <f>IFERROR(__xludf.DUMMYFUNCTION("""COMPUTED_VALUE"""),"examples/random/sparse_100_10_3")</f>
        <v>examples/random/sparse_100_10_3</v>
      </c>
      <c r="B260" s="4">
        <f>IFERROR(__xludf.DUMMYFUNCTION("""COMPUTED_VALUE"""),1100.0)</f>
        <v>1100</v>
      </c>
      <c r="C260" s="4">
        <f>IFERROR(__xludf.DUMMYFUNCTION("""COMPUTED_VALUE"""),60.0)</f>
        <v>60</v>
      </c>
      <c r="D260" s="4">
        <f>IFERROR(__xludf.DUMMYFUNCTION("""COMPUTED_VALUE"""),50.0)</f>
        <v>50</v>
      </c>
      <c r="E260" s="4">
        <f>IFERROR(__xludf.DUMMYFUNCTION("""COMPUTED_VALUE"""),1.0)</f>
        <v>1</v>
      </c>
      <c r="F260" s="4">
        <f>IFERROR(__xludf.DUMMYFUNCTION("""COMPUTED_VALUE"""),2.0)</f>
        <v>2</v>
      </c>
      <c r="G260" s="4">
        <f>IFERROR(__xludf.DUMMYFUNCTION("""COMPUTED_VALUE"""),0.0)</f>
        <v>0</v>
      </c>
      <c r="H260" s="4">
        <f>IFERROR(__xludf.DUMMYFUNCTION("""COMPUTED_VALUE"""),0.0)</f>
        <v>0</v>
      </c>
      <c r="I260" s="2" t="str">
        <f>IFERROR(__xludf.DUMMYFUNCTION("""COMPUTED_VALUE"""),"random")</f>
        <v>random</v>
      </c>
      <c r="J260" s="2">
        <f t="shared" si="2"/>
        <v>9</v>
      </c>
      <c r="K260" s="2">
        <f t="shared" si="3"/>
        <v>1000</v>
      </c>
      <c r="L260" s="2" t="str">
        <f t="shared" si="4"/>
        <v>JP</v>
      </c>
    </row>
    <row r="261">
      <c r="A261" s="2" t="str">
        <f>IFERROR(__xludf.DUMMYFUNCTION("""COMPUTED_VALUE"""),"examples/random/sparse_300_2_5")</f>
        <v>examples/random/sparse_300_2_5</v>
      </c>
      <c r="B261" s="4">
        <f>IFERROR(__xludf.DUMMYFUNCTION("""COMPUTED_VALUE"""),900.0)</f>
        <v>900</v>
      </c>
      <c r="C261" s="4">
        <f>IFERROR(__xludf.DUMMYFUNCTION("""COMPUTED_VALUE"""),60.0)</f>
        <v>60</v>
      </c>
      <c r="D261" s="4">
        <f>IFERROR(__xludf.DUMMYFUNCTION("""COMPUTED_VALUE"""),147.0)</f>
        <v>147</v>
      </c>
      <c r="E261" s="4">
        <f>IFERROR(__xludf.DUMMYFUNCTION("""COMPUTED_VALUE"""),1.0)</f>
        <v>1</v>
      </c>
      <c r="F261" s="4">
        <f>IFERROR(__xludf.DUMMYFUNCTION("""COMPUTED_VALUE"""),2.0)</f>
        <v>2</v>
      </c>
      <c r="G261" s="4">
        <f>IFERROR(__xludf.DUMMYFUNCTION("""COMPUTED_VALUE"""),4.0)</f>
        <v>4</v>
      </c>
      <c r="H261" s="4">
        <f>IFERROR(__xludf.DUMMYFUNCTION("""COMPUTED_VALUE"""),0.0)</f>
        <v>0</v>
      </c>
      <c r="I261" s="2" t="str">
        <f>IFERROR(__xludf.DUMMYFUNCTION("""COMPUTED_VALUE"""),"random")</f>
        <v>random</v>
      </c>
      <c r="J261" s="2">
        <f t="shared" si="2"/>
        <v>9</v>
      </c>
      <c r="K261" s="2">
        <f t="shared" si="3"/>
        <v>1000</v>
      </c>
      <c r="L261" s="2" t="str">
        <f t="shared" si="4"/>
        <v>P</v>
      </c>
    </row>
    <row r="262">
      <c r="A262" s="2" t="str">
        <f>IFERROR(__xludf.DUMMYFUNCTION("""COMPUTED_VALUE"""),"examples/random/dense_3000_1_4")</f>
        <v>examples/random/dense_3000_1_4</v>
      </c>
      <c r="B262" s="4">
        <f>IFERROR(__xludf.DUMMYFUNCTION("""COMPUTED_VALUE"""),92565.0)</f>
        <v>92565</v>
      </c>
      <c r="C262" s="4">
        <f>IFERROR(__xludf.DUMMYFUNCTION("""COMPUTED_VALUE"""),60.0)</f>
        <v>60</v>
      </c>
      <c r="D262" s="4">
        <f>IFERROR(__xludf.DUMMYFUNCTION("""COMPUTED_VALUE"""),60000.0)</f>
        <v>60000</v>
      </c>
      <c r="E262" s="4">
        <f>IFERROR(__xludf.DUMMYFUNCTION("""COMPUTED_VALUE"""),4180.0)</f>
        <v>4180</v>
      </c>
      <c r="F262" s="4">
        <f>IFERROR(__xludf.DUMMYFUNCTION("""COMPUTED_VALUE"""),6891.0)</f>
        <v>6891</v>
      </c>
      <c r="G262" s="4">
        <f>IFERROR(__xludf.DUMMYFUNCTION("""COMPUTED_VALUE"""),43.0)</f>
        <v>43</v>
      </c>
      <c r="H262" s="4">
        <f>IFERROR(__xludf.DUMMYFUNCTION("""COMPUTED_VALUE"""),20.0)</f>
        <v>20</v>
      </c>
      <c r="I262" s="2" t="str">
        <f>IFERROR(__xludf.DUMMYFUNCTION("""COMPUTED_VALUE"""),"random")</f>
        <v>random</v>
      </c>
      <c r="J262" s="2">
        <f t="shared" si="2"/>
        <v>15</v>
      </c>
      <c r="K262" s="2">
        <f t="shared" si="3"/>
        <v>100000</v>
      </c>
      <c r="L262" s="2" t="str">
        <f t="shared" si="4"/>
        <v>P</v>
      </c>
    </row>
    <row r="263">
      <c r="A263" s="2" t="str">
        <f>IFERROR(__xludf.DUMMYFUNCTION("""COMPUTED_VALUE"""),"examples/random/sparse_30000_1_2")</f>
        <v>examples/random/sparse_30000_1_2</v>
      </c>
      <c r="B263" s="4">
        <f>IFERROR(__xludf.DUMMYFUNCTION("""COMPUTED_VALUE"""),60000.0)</f>
        <v>60000</v>
      </c>
      <c r="C263" s="4">
        <f>IFERROR(__xludf.DUMMYFUNCTION("""COMPUTED_VALUE"""),60.0)</f>
        <v>60</v>
      </c>
      <c r="D263" s="4">
        <f>IFERROR(__xludf.DUMMYFUNCTION("""COMPUTED_VALUE"""),60000.0)</f>
        <v>60000</v>
      </c>
      <c r="E263" s="4">
        <f>IFERROR(__xludf.DUMMYFUNCTION("""COMPUTED_VALUE"""),76.0)</f>
        <v>76</v>
      </c>
      <c r="F263" s="4">
        <f>IFERROR(__xludf.DUMMYFUNCTION("""COMPUTED_VALUE"""),69.0)</f>
        <v>69</v>
      </c>
      <c r="G263" s="4">
        <f>IFERROR(__xludf.DUMMYFUNCTION("""COMPUTED_VALUE"""),385.0)</f>
        <v>385</v>
      </c>
      <c r="H263" s="4">
        <f>IFERROR(__xludf.DUMMYFUNCTION("""COMPUTED_VALUE"""),52.0)</f>
        <v>52</v>
      </c>
      <c r="I263" s="2" t="str">
        <f>IFERROR(__xludf.DUMMYFUNCTION("""COMPUTED_VALUE"""),"random")</f>
        <v>random</v>
      </c>
      <c r="J263" s="2">
        <f t="shared" si="2"/>
        <v>14</v>
      </c>
      <c r="K263" s="2">
        <f t="shared" si="3"/>
        <v>50000</v>
      </c>
      <c r="L263" s="2" t="str">
        <f t="shared" si="4"/>
        <v>P</v>
      </c>
    </row>
    <row r="264">
      <c r="A264" s="2" t="str">
        <f>IFERROR(__xludf.DUMMYFUNCTION("""COMPUTED_VALUE"""),"examples/random/sparse_10000_10_7")</f>
        <v>examples/random/sparse_10000_10_7</v>
      </c>
      <c r="B264" s="4">
        <f>IFERROR(__xludf.DUMMYFUNCTION("""COMPUTED_VALUE"""),110000.0)</f>
        <v>110000</v>
      </c>
      <c r="C264" s="4">
        <f>IFERROR(__xludf.DUMMYFUNCTION("""COMPUTED_VALUE"""),60.0)</f>
        <v>60</v>
      </c>
      <c r="D264" s="4">
        <f>IFERROR(__xludf.DUMMYFUNCTION("""COMPUTED_VALUE"""),60000.0)</f>
        <v>60000</v>
      </c>
      <c r="E264" s="4">
        <f>IFERROR(__xludf.DUMMYFUNCTION("""COMPUTED_VALUE"""),16244.0)</f>
        <v>16244</v>
      </c>
      <c r="F264" s="4">
        <f>IFERROR(__xludf.DUMMYFUNCTION("""COMPUTED_VALUE"""),23608.0)</f>
        <v>23608</v>
      </c>
      <c r="G264" s="4">
        <f>IFERROR(__xludf.DUMMYFUNCTION("""COMPUTED_VALUE"""),102.0)</f>
        <v>102</v>
      </c>
      <c r="H264" s="4">
        <f>IFERROR(__xludf.DUMMYFUNCTION("""COMPUTED_VALUE"""),34.0)</f>
        <v>34</v>
      </c>
      <c r="I264" s="2" t="str">
        <f>IFERROR(__xludf.DUMMYFUNCTION("""COMPUTED_VALUE"""),"random")</f>
        <v>random</v>
      </c>
      <c r="J264" s="2">
        <f t="shared" si="2"/>
        <v>15</v>
      </c>
      <c r="K264" s="2">
        <f t="shared" si="3"/>
        <v>100000</v>
      </c>
      <c r="L264" s="2" t="str">
        <f t="shared" si="4"/>
        <v>P</v>
      </c>
    </row>
    <row r="265">
      <c r="A265" s="2" t="str">
        <f>IFERROR(__xludf.DUMMYFUNCTION("""COMPUTED_VALUE"""),"examples/random/sparse_10000_3_8")</f>
        <v>examples/random/sparse_10000_3_8</v>
      </c>
      <c r="B265" s="4">
        <f>IFERROR(__xludf.DUMMYFUNCTION("""COMPUTED_VALUE"""),40000.0)</f>
        <v>40000</v>
      </c>
      <c r="C265" s="4">
        <f>IFERROR(__xludf.DUMMYFUNCTION("""COMPUTED_VALUE"""),60.0)</f>
        <v>60</v>
      </c>
      <c r="D265" s="4">
        <f>IFERROR(__xludf.DUMMYFUNCTION("""COMPUTED_VALUE"""),60000.0)</f>
        <v>60000</v>
      </c>
      <c r="E265" s="4">
        <f>IFERROR(__xludf.DUMMYFUNCTION("""COMPUTED_VALUE"""),3192.0)</f>
        <v>3192</v>
      </c>
      <c r="F265" s="4">
        <f>IFERROR(__xludf.DUMMYFUNCTION("""COMPUTED_VALUE"""),5647.0)</f>
        <v>5647</v>
      </c>
      <c r="G265" s="4">
        <f>IFERROR(__xludf.DUMMYFUNCTION("""COMPUTED_VALUE"""),86.0)</f>
        <v>86</v>
      </c>
      <c r="H265" s="4">
        <f>IFERROR(__xludf.DUMMYFUNCTION("""COMPUTED_VALUE"""),19.0)</f>
        <v>19</v>
      </c>
      <c r="I265" s="2" t="str">
        <f>IFERROR(__xludf.DUMMYFUNCTION("""COMPUTED_VALUE"""),"random")</f>
        <v>random</v>
      </c>
      <c r="J265" s="2">
        <f t="shared" si="2"/>
        <v>14</v>
      </c>
      <c r="K265" s="2">
        <f t="shared" si="3"/>
        <v>50000</v>
      </c>
      <c r="L265" s="2" t="str">
        <f t="shared" si="4"/>
        <v>P</v>
      </c>
    </row>
    <row r="266">
      <c r="A266" s="2" t="str">
        <f>IFERROR(__xludf.DUMMYFUNCTION("""COMPUTED_VALUE"""),"examples/random/sparse_10000_1_6")</f>
        <v>examples/random/sparse_10000_1_6</v>
      </c>
      <c r="B266" s="4">
        <f>IFERROR(__xludf.DUMMYFUNCTION("""COMPUTED_VALUE"""),20000.0)</f>
        <v>20000</v>
      </c>
      <c r="C266" s="4">
        <f>IFERROR(__xludf.DUMMYFUNCTION("""COMPUTED_VALUE"""),60.0)</f>
        <v>60</v>
      </c>
      <c r="D266" s="4">
        <f>IFERROR(__xludf.DUMMYFUNCTION("""COMPUTED_VALUE"""),17843.0)</f>
        <v>17843</v>
      </c>
      <c r="E266" s="4">
        <f>IFERROR(__xludf.DUMMYFUNCTION("""COMPUTED_VALUE"""),22.0)</f>
        <v>22</v>
      </c>
      <c r="F266" s="4">
        <f>IFERROR(__xludf.DUMMYFUNCTION("""COMPUTED_VALUE"""),20.0)</f>
        <v>20</v>
      </c>
      <c r="G266" s="4">
        <f>IFERROR(__xludf.DUMMYFUNCTION("""COMPUTED_VALUE"""),117.0)</f>
        <v>117</v>
      </c>
      <c r="H266" s="4">
        <f>IFERROR(__xludf.DUMMYFUNCTION("""COMPUTED_VALUE"""),15.0)</f>
        <v>15</v>
      </c>
      <c r="I266" s="2" t="str">
        <f>IFERROR(__xludf.DUMMYFUNCTION("""COMPUTED_VALUE"""),"random")</f>
        <v>random</v>
      </c>
      <c r="J266" s="2">
        <f t="shared" si="2"/>
        <v>13</v>
      </c>
      <c r="K266" s="2">
        <f t="shared" si="3"/>
        <v>20000</v>
      </c>
      <c r="L266" s="2" t="str">
        <f t="shared" si="4"/>
        <v>P</v>
      </c>
    </row>
    <row r="267">
      <c r="A267" s="2" t="str">
        <f>IFERROR(__xludf.DUMMYFUNCTION("""COMPUTED_VALUE"""),"examples/random/sparse_100_3_2")</f>
        <v>examples/random/sparse_100_3_2</v>
      </c>
      <c r="B267" s="4">
        <f>IFERROR(__xludf.DUMMYFUNCTION("""COMPUTED_VALUE"""),400.0)</f>
        <v>400</v>
      </c>
      <c r="C267" s="4">
        <f>IFERROR(__xludf.DUMMYFUNCTION("""COMPUTED_VALUE"""),60.0)</f>
        <v>60</v>
      </c>
      <c r="D267" s="4">
        <f>IFERROR(__xludf.DUMMYFUNCTION("""COMPUTED_VALUE"""),15.0)</f>
        <v>15</v>
      </c>
      <c r="E267" s="4">
        <f>IFERROR(__xludf.DUMMYFUNCTION("""COMPUTED_VALUE"""),0.0)</f>
        <v>0</v>
      </c>
      <c r="F267" s="4">
        <f>IFERROR(__xludf.DUMMYFUNCTION("""COMPUTED_VALUE"""),0.0)</f>
        <v>0</v>
      </c>
      <c r="G267" s="4">
        <f>IFERROR(__xludf.DUMMYFUNCTION("""COMPUTED_VALUE"""),0.0)</f>
        <v>0</v>
      </c>
      <c r="H267" s="4">
        <f>IFERROR(__xludf.DUMMYFUNCTION("""COMPUTED_VALUE"""),0.0)</f>
        <v>0</v>
      </c>
      <c r="I267" s="2" t="str">
        <f>IFERROR(__xludf.DUMMYFUNCTION("""COMPUTED_VALUE"""),"random")</f>
        <v>random</v>
      </c>
      <c r="J267" s="2">
        <f t="shared" si="2"/>
        <v>8</v>
      </c>
      <c r="K267" s="2">
        <f t="shared" si="3"/>
        <v>500</v>
      </c>
      <c r="L267" s="2">
        <f t="shared" si="4"/>
        <v>0</v>
      </c>
    </row>
    <row r="268">
      <c r="A268" s="2" t="str">
        <f>IFERROR(__xludf.DUMMYFUNCTION("""COMPUTED_VALUE"""),"examples/random/sparse_10000_2_2")</f>
        <v>examples/random/sparse_10000_2_2</v>
      </c>
      <c r="B268" s="4">
        <f>IFERROR(__xludf.DUMMYFUNCTION("""COMPUTED_VALUE"""),30000.0)</f>
        <v>30000</v>
      </c>
      <c r="C268" s="4">
        <f>IFERROR(__xludf.DUMMYFUNCTION("""COMPUTED_VALUE"""),60.0)</f>
        <v>60</v>
      </c>
      <c r="D268" s="4">
        <f>IFERROR(__xludf.DUMMYFUNCTION("""COMPUTED_VALUE"""),60000.0)</f>
        <v>60000</v>
      </c>
      <c r="E268" s="4">
        <f>IFERROR(__xludf.DUMMYFUNCTION("""COMPUTED_VALUE"""),1377.0)</f>
        <v>1377</v>
      </c>
      <c r="F268" s="4">
        <f>IFERROR(__xludf.DUMMYFUNCTION("""COMPUTED_VALUE"""),2440.0)</f>
        <v>2440</v>
      </c>
      <c r="G268" s="4">
        <f>IFERROR(__xludf.DUMMYFUNCTION("""COMPUTED_VALUE"""),203.0)</f>
        <v>203</v>
      </c>
      <c r="H268" s="4">
        <f>IFERROR(__xludf.DUMMYFUNCTION("""COMPUTED_VALUE"""),22.0)</f>
        <v>22</v>
      </c>
      <c r="I268" s="2" t="str">
        <f>IFERROR(__xludf.DUMMYFUNCTION("""COMPUTED_VALUE"""),"random")</f>
        <v>random</v>
      </c>
      <c r="J268" s="2">
        <f t="shared" si="2"/>
        <v>13</v>
      </c>
      <c r="K268" s="2">
        <f t="shared" si="3"/>
        <v>20000</v>
      </c>
      <c r="L268" s="2" t="str">
        <f t="shared" si="4"/>
        <v>P</v>
      </c>
    </row>
    <row r="269">
      <c r="A269" s="2" t="str">
        <f>IFERROR(__xludf.DUMMYFUNCTION("""COMPUTED_VALUE"""),"examples/random/sparse_300_10_8")</f>
        <v>examples/random/sparse_300_10_8</v>
      </c>
      <c r="B269" s="4">
        <f>IFERROR(__xludf.DUMMYFUNCTION("""COMPUTED_VALUE"""),3300.0)</f>
        <v>3300</v>
      </c>
      <c r="C269" s="4">
        <f>IFERROR(__xludf.DUMMYFUNCTION("""COMPUTED_VALUE"""),60.0)</f>
        <v>60</v>
      </c>
      <c r="D269" s="4">
        <f>IFERROR(__xludf.DUMMYFUNCTION("""COMPUTED_VALUE"""),1294.0)</f>
        <v>1294</v>
      </c>
      <c r="E269" s="4">
        <f>IFERROR(__xludf.DUMMYFUNCTION("""COMPUTED_VALUE"""),13.0)</f>
        <v>13</v>
      </c>
      <c r="F269" s="4">
        <f>IFERROR(__xludf.DUMMYFUNCTION("""COMPUTED_VALUE"""),18.0)</f>
        <v>18</v>
      </c>
      <c r="G269" s="4">
        <f>IFERROR(__xludf.DUMMYFUNCTION("""COMPUTED_VALUE"""),2.0)</f>
        <v>2</v>
      </c>
      <c r="H269" s="4">
        <f>IFERROR(__xludf.DUMMYFUNCTION("""COMPUTED_VALUE"""),0.0)</f>
        <v>0</v>
      </c>
      <c r="I269" s="2" t="str">
        <f>IFERROR(__xludf.DUMMYFUNCTION("""COMPUTED_VALUE"""),"random")</f>
        <v>random</v>
      </c>
      <c r="J269" s="2">
        <f t="shared" si="2"/>
        <v>11</v>
      </c>
      <c r="K269" s="2">
        <f t="shared" si="3"/>
        <v>5000</v>
      </c>
      <c r="L269" s="2" t="str">
        <f t="shared" si="4"/>
        <v>P</v>
      </c>
    </row>
    <row r="270">
      <c r="A270" s="2" t="str">
        <f>IFERROR(__xludf.DUMMYFUNCTION("""COMPUTED_VALUE"""),"examples/random/dense_1000_3_1")</f>
        <v>examples/random/dense_1000_3_1</v>
      </c>
      <c r="B270" s="4">
        <f>IFERROR(__xludf.DUMMYFUNCTION("""COMPUTED_VALUE"""),30971.0)</f>
        <v>30971</v>
      </c>
      <c r="C270" s="4">
        <f>IFERROR(__xludf.DUMMYFUNCTION("""COMPUTED_VALUE"""),60.0)</f>
        <v>60</v>
      </c>
      <c r="D270" s="4">
        <f>IFERROR(__xludf.DUMMYFUNCTION("""COMPUTED_VALUE"""),60000.0)</f>
        <v>60000</v>
      </c>
      <c r="E270" s="4">
        <f>IFERROR(__xludf.DUMMYFUNCTION("""COMPUTED_VALUE"""),432.0)</f>
        <v>432</v>
      </c>
      <c r="F270" s="4">
        <f>IFERROR(__xludf.DUMMYFUNCTION("""COMPUTED_VALUE"""),671.0)</f>
        <v>671</v>
      </c>
      <c r="G270" s="4">
        <f>IFERROR(__xludf.DUMMYFUNCTION("""COMPUTED_VALUE"""),14.0)</f>
        <v>14</v>
      </c>
      <c r="H270" s="4">
        <f>IFERROR(__xludf.DUMMYFUNCTION("""COMPUTED_VALUE"""),6.0)</f>
        <v>6</v>
      </c>
      <c r="I270" s="2" t="str">
        <f>IFERROR(__xludf.DUMMYFUNCTION("""COMPUTED_VALUE"""),"random")</f>
        <v>random</v>
      </c>
      <c r="J270" s="2">
        <f t="shared" si="2"/>
        <v>13</v>
      </c>
      <c r="K270" s="2">
        <f t="shared" si="3"/>
        <v>20000</v>
      </c>
      <c r="L270" s="2" t="str">
        <f t="shared" si="4"/>
        <v>P</v>
      </c>
    </row>
    <row r="271">
      <c r="A271" s="2" t="str">
        <f>IFERROR(__xludf.DUMMYFUNCTION("""COMPUTED_VALUE"""),"examples/random/sparse_300_1_1")</f>
        <v>examples/random/sparse_300_1_1</v>
      </c>
      <c r="B271" s="4">
        <f>IFERROR(__xludf.DUMMYFUNCTION("""COMPUTED_VALUE"""),600.0)</f>
        <v>600</v>
      </c>
      <c r="C271" s="4">
        <f>IFERROR(__xludf.DUMMYFUNCTION("""COMPUTED_VALUE"""),60.0)</f>
        <v>60</v>
      </c>
      <c r="D271" s="4">
        <f>IFERROR(__xludf.DUMMYFUNCTION("""COMPUTED_VALUE"""),13.0)</f>
        <v>13</v>
      </c>
      <c r="E271" s="4">
        <f>IFERROR(__xludf.DUMMYFUNCTION("""COMPUTED_VALUE"""),0.0)</f>
        <v>0</v>
      </c>
      <c r="F271" s="4">
        <f>IFERROR(__xludf.DUMMYFUNCTION("""COMPUTED_VALUE"""),0.0)</f>
        <v>0</v>
      </c>
      <c r="G271" s="4">
        <f>IFERROR(__xludf.DUMMYFUNCTION("""COMPUTED_VALUE"""),2.0)</f>
        <v>2</v>
      </c>
      <c r="H271" s="4">
        <f>IFERROR(__xludf.DUMMYFUNCTION("""COMPUTED_VALUE"""),0.0)</f>
        <v>0</v>
      </c>
      <c r="I271" s="2" t="str">
        <f>IFERROR(__xludf.DUMMYFUNCTION("""COMPUTED_VALUE"""),"random")</f>
        <v>random</v>
      </c>
      <c r="J271" s="2">
        <f t="shared" si="2"/>
        <v>8</v>
      </c>
      <c r="K271" s="2">
        <f t="shared" si="3"/>
        <v>500</v>
      </c>
      <c r="L271" s="2" t="str">
        <f t="shared" si="4"/>
        <v>BP</v>
      </c>
    </row>
    <row r="272">
      <c r="A272" s="2" t="str">
        <f>IFERROR(__xludf.DUMMYFUNCTION("""COMPUTED_VALUE"""),"examples/random/sparse_30000_2_6")</f>
        <v>examples/random/sparse_30000_2_6</v>
      </c>
      <c r="B272" s="4">
        <f>IFERROR(__xludf.DUMMYFUNCTION("""COMPUTED_VALUE"""),90000.0)</f>
        <v>90000</v>
      </c>
      <c r="C272" s="4">
        <f>IFERROR(__xludf.DUMMYFUNCTION("""COMPUTED_VALUE"""),60.0)</f>
        <v>60</v>
      </c>
      <c r="D272" s="4">
        <f>IFERROR(__xludf.DUMMYFUNCTION("""COMPUTED_VALUE"""),60000.0)</f>
        <v>60000</v>
      </c>
      <c r="E272" s="4">
        <f>IFERROR(__xludf.DUMMYFUNCTION("""COMPUTED_VALUE"""),13640.0)</f>
        <v>13640</v>
      </c>
      <c r="F272" s="4">
        <f>IFERROR(__xludf.DUMMYFUNCTION("""COMPUTED_VALUE"""),25037.0)</f>
        <v>25037</v>
      </c>
      <c r="G272" s="4">
        <f>IFERROR(__xludf.DUMMYFUNCTION("""COMPUTED_VALUE"""),732.0)</f>
        <v>732</v>
      </c>
      <c r="H272" s="4">
        <f>IFERROR(__xludf.DUMMYFUNCTION("""COMPUTED_VALUE"""),72.0)</f>
        <v>72</v>
      </c>
      <c r="I272" s="2" t="str">
        <f>IFERROR(__xludf.DUMMYFUNCTION("""COMPUTED_VALUE"""),"random")</f>
        <v>random</v>
      </c>
      <c r="J272" s="2">
        <f t="shared" si="2"/>
        <v>15</v>
      </c>
      <c r="K272" s="2">
        <f t="shared" si="3"/>
        <v>100000</v>
      </c>
      <c r="L272" s="2" t="str">
        <f t="shared" si="4"/>
        <v>P</v>
      </c>
    </row>
    <row r="273">
      <c r="A273" s="2" t="str">
        <f>IFERROR(__xludf.DUMMYFUNCTION("""COMPUTED_VALUE"""),"examples/random/dense_300_3_7")</f>
        <v>examples/random/dense_300_3_7</v>
      </c>
      <c r="B273" s="4">
        <f>IFERROR(__xludf.DUMMYFUNCTION("""COMPUTED_VALUE"""),2900.0)</f>
        <v>2900</v>
      </c>
      <c r="C273" s="4">
        <f>IFERROR(__xludf.DUMMYFUNCTION("""COMPUTED_VALUE"""),60.0)</f>
        <v>60</v>
      </c>
      <c r="D273" s="4">
        <f>IFERROR(__xludf.DUMMYFUNCTION("""COMPUTED_VALUE"""),1183.0)</f>
        <v>1183</v>
      </c>
      <c r="E273" s="4">
        <f>IFERROR(__xludf.DUMMYFUNCTION("""COMPUTED_VALUE"""),11.0)</f>
        <v>11</v>
      </c>
      <c r="F273" s="4">
        <f>IFERROR(__xludf.DUMMYFUNCTION("""COMPUTED_VALUE"""),15.0)</f>
        <v>15</v>
      </c>
      <c r="G273" s="4">
        <f>IFERROR(__xludf.DUMMYFUNCTION("""COMPUTED_VALUE"""),2.0)</f>
        <v>2</v>
      </c>
      <c r="H273" s="4">
        <f>IFERROR(__xludf.DUMMYFUNCTION("""COMPUTED_VALUE"""),0.0)</f>
        <v>0</v>
      </c>
      <c r="I273" s="2" t="str">
        <f>IFERROR(__xludf.DUMMYFUNCTION("""COMPUTED_VALUE"""),"random")</f>
        <v>random</v>
      </c>
      <c r="J273" s="2">
        <f t="shared" si="2"/>
        <v>10</v>
      </c>
      <c r="K273" s="2">
        <f t="shared" si="3"/>
        <v>2000</v>
      </c>
      <c r="L273" s="2" t="str">
        <f t="shared" si="4"/>
        <v>P</v>
      </c>
    </row>
    <row r="274">
      <c r="A274" s="2" t="str">
        <f>IFERROR(__xludf.DUMMYFUNCTION("""COMPUTED_VALUE"""),"examples/random/sparse_3000_1_4")</f>
        <v>examples/random/sparse_3000_1_4</v>
      </c>
      <c r="B274" s="4">
        <f>IFERROR(__xludf.DUMMYFUNCTION("""COMPUTED_VALUE"""),6000.0)</f>
        <v>6000</v>
      </c>
      <c r="C274" s="4">
        <f>IFERROR(__xludf.DUMMYFUNCTION("""COMPUTED_VALUE"""),60.0)</f>
        <v>60</v>
      </c>
      <c r="D274" s="4">
        <f>IFERROR(__xludf.DUMMYFUNCTION("""COMPUTED_VALUE"""),1542.0)</f>
        <v>1542</v>
      </c>
      <c r="E274" s="4">
        <f>IFERROR(__xludf.DUMMYFUNCTION("""COMPUTED_VALUE"""),6.0)</f>
        <v>6</v>
      </c>
      <c r="F274" s="4">
        <f>IFERROR(__xludf.DUMMYFUNCTION("""COMPUTED_VALUE"""),5.0)</f>
        <v>5</v>
      </c>
      <c r="G274" s="4">
        <f>IFERROR(__xludf.DUMMYFUNCTION("""COMPUTED_VALUE"""),31.0)</f>
        <v>31</v>
      </c>
      <c r="H274" s="4">
        <f>IFERROR(__xludf.DUMMYFUNCTION("""COMPUTED_VALUE"""),4.0)</f>
        <v>4</v>
      </c>
      <c r="I274" s="2" t="str">
        <f>IFERROR(__xludf.DUMMYFUNCTION("""COMPUTED_VALUE"""),"random")</f>
        <v>random</v>
      </c>
      <c r="J274" s="2">
        <f t="shared" si="2"/>
        <v>11</v>
      </c>
      <c r="K274" s="2">
        <f t="shared" si="3"/>
        <v>5000</v>
      </c>
      <c r="L274" s="2" t="str">
        <f t="shared" si="4"/>
        <v>P</v>
      </c>
    </row>
    <row r="275">
      <c r="A275" s="2" t="str">
        <f>IFERROR(__xludf.DUMMYFUNCTION("""COMPUTED_VALUE"""),"examples/random/dense_300_1_9")</f>
        <v>examples/random/dense_300_1_9</v>
      </c>
      <c r="B275" s="4">
        <f>IFERROR(__xludf.DUMMYFUNCTION("""COMPUTED_VALUE"""),1190.0)</f>
        <v>1190</v>
      </c>
      <c r="C275" s="4">
        <f>IFERROR(__xludf.DUMMYFUNCTION("""COMPUTED_VALUE"""),60.0)</f>
        <v>60</v>
      </c>
      <c r="D275" s="4">
        <f>IFERROR(__xludf.DUMMYFUNCTION("""COMPUTED_VALUE"""),303.0)</f>
        <v>303</v>
      </c>
      <c r="E275" s="4">
        <f>IFERROR(__xludf.DUMMYFUNCTION("""COMPUTED_VALUE"""),3.0)</f>
        <v>3</v>
      </c>
      <c r="F275" s="4">
        <f>IFERROR(__xludf.DUMMYFUNCTION("""COMPUTED_VALUE"""),4.0)</f>
        <v>4</v>
      </c>
      <c r="G275" s="4">
        <f>IFERROR(__xludf.DUMMYFUNCTION("""COMPUTED_VALUE"""),2.0)</f>
        <v>2</v>
      </c>
      <c r="H275" s="4">
        <f>IFERROR(__xludf.DUMMYFUNCTION("""COMPUTED_VALUE"""),0.0)</f>
        <v>0</v>
      </c>
      <c r="I275" s="2" t="str">
        <f>IFERROR(__xludf.DUMMYFUNCTION("""COMPUTED_VALUE"""),"random")</f>
        <v>random</v>
      </c>
      <c r="J275" s="2">
        <f t="shared" si="2"/>
        <v>9</v>
      </c>
      <c r="K275" s="2">
        <f t="shared" si="3"/>
        <v>1000</v>
      </c>
      <c r="L275" s="2" t="str">
        <f t="shared" si="4"/>
        <v>P</v>
      </c>
    </row>
    <row r="276">
      <c r="A276" s="2" t="str">
        <f>IFERROR(__xludf.DUMMYFUNCTION("""COMPUTED_VALUE"""),"examples/random/dense_10000_3_5")</f>
        <v>examples/random/dense_10000_3_5</v>
      </c>
      <c r="B276" s="4">
        <f>IFERROR(__xludf.DUMMYFUNCTION("""COMPUTED_VALUE"""),3011435.0)</f>
        <v>3011435</v>
      </c>
      <c r="C276" s="4">
        <f>IFERROR(__xludf.DUMMYFUNCTION("""COMPUTED_VALUE"""),60.0)</f>
        <v>60</v>
      </c>
      <c r="D276" s="4">
        <f>IFERROR(__xludf.DUMMYFUNCTION("""COMPUTED_VALUE"""),60000.0)</f>
        <v>60000</v>
      </c>
      <c r="E276" s="4">
        <f>IFERROR(__xludf.DUMMYFUNCTION("""COMPUTED_VALUE"""),60000.0)</f>
        <v>60000</v>
      </c>
      <c r="F276" s="4">
        <f>IFERROR(__xludf.DUMMYFUNCTION("""COMPUTED_VALUE"""),60000.0)</f>
        <v>60000</v>
      </c>
      <c r="G276" s="4">
        <f>IFERROR(__xludf.DUMMYFUNCTION("""COMPUTED_VALUE"""),954.0)</f>
        <v>954</v>
      </c>
      <c r="H276" s="4">
        <f>IFERROR(__xludf.DUMMYFUNCTION("""COMPUTED_VALUE"""),667.0)</f>
        <v>667</v>
      </c>
      <c r="I276" s="2" t="str">
        <f>IFERROR(__xludf.DUMMYFUNCTION("""COMPUTED_VALUE"""),"random")</f>
        <v>random</v>
      </c>
      <c r="J276" s="2">
        <f t="shared" si="2"/>
        <v>19</v>
      </c>
      <c r="K276" s="2">
        <f t="shared" si="3"/>
        <v>2000000</v>
      </c>
      <c r="L276" s="2" t="str">
        <f t="shared" si="4"/>
        <v>P</v>
      </c>
    </row>
    <row r="277">
      <c r="A277" s="2" t="str">
        <f>IFERROR(__xludf.DUMMYFUNCTION("""COMPUTED_VALUE"""),"examples/random/dense_3000_1_10")</f>
        <v>examples/random/dense_3000_1_10</v>
      </c>
      <c r="B277" s="4">
        <f>IFERROR(__xludf.DUMMYFUNCTION("""COMPUTED_VALUE"""),93525.0)</f>
        <v>93525</v>
      </c>
      <c r="C277" s="4">
        <f>IFERROR(__xludf.DUMMYFUNCTION("""COMPUTED_VALUE"""),60.0)</f>
        <v>60</v>
      </c>
      <c r="D277" s="4">
        <f>IFERROR(__xludf.DUMMYFUNCTION("""COMPUTED_VALUE"""),60000.0)</f>
        <v>60000</v>
      </c>
      <c r="E277" s="4">
        <f>IFERROR(__xludf.DUMMYFUNCTION("""COMPUTED_VALUE"""),4250.0)</f>
        <v>4250</v>
      </c>
      <c r="F277" s="4">
        <f>IFERROR(__xludf.DUMMYFUNCTION("""COMPUTED_VALUE"""),6907.0)</f>
        <v>6907</v>
      </c>
      <c r="G277" s="4">
        <f>IFERROR(__xludf.DUMMYFUNCTION("""COMPUTED_VALUE"""),43.0)</f>
        <v>43</v>
      </c>
      <c r="H277" s="4">
        <f>IFERROR(__xludf.DUMMYFUNCTION("""COMPUTED_VALUE"""),20.0)</f>
        <v>20</v>
      </c>
      <c r="I277" s="2" t="str">
        <f>IFERROR(__xludf.DUMMYFUNCTION("""COMPUTED_VALUE"""),"random")</f>
        <v>random</v>
      </c>
      <c r="J277" s="2">
        <f t="shared" si="2"/>
        <v>15</v>
      </c>
      <c r="K277" s="2">
        <f t="shared" si="3"/>
        <v>100000</v>
      </c>
      <c r="L277" s="2" t="str">
        <f t="shared" si="4"/>
        <v>P</v>
      </c>
    </row>
    <row r="278">
      <c r="A278" s="2" t="str">
        <f>IFERROR(__xludf.DUMMYFUNCTION("""COMPUTED_VALUE"""),"examples/random/sparse_100000_3_5")</f>
        <v>examples/random/sparse_100000_3_5</v>
      </c>
      <c r="B278" s="4">
        <f>IFERROR(__xludf.DUMMYFUNCTION("""COMPUTED_VALUE"""),400000.0)</f>
        <v>400000</v>
      </c>
      <c r="C278" s="4">
        <f>IFERROR(__xludf.DUMMYFUNCTION("""COMPUTED_VALUE"""),60.0)</f>
        <v>60</v>
      </c>
      <c r="D278" s="4">
        <f>IFERROR(__xludf.DUMMYFUNCTION("""COMPUTED_VALUE"""),60000.0)</f>
        <v>60000</v>
      </c>
      <c r="E278" s="4">
        <f>IFERROR(__xludf.DUMMYFUNCTION("""COMPUTED_VALUE"""),60000.0)</f>
        <v>60000</v>
      </c>
      <c r="F278" s="4">
        <f>IFERROR(__xludf.DUMMYFUNCTION("""COMPUTED_VALUE"""),60000.0)</f>
        <v>60000</v>
      </c>
      <c r="G278" s="4">
        <f>IFERROR(__xludf.DUMMYFUNCTION("""COMPUTED_VALUE"""),1143.0)</f>
        <v>1143</v>
      </c>
      <c r="H278" s="4">
        <f>IFERROR(__xludf.DUMMYFUNCTION("""COMPUTED_VALUE"""),226.0)</f>
        <v>226</v>
      </c>
      <c r="I278" s="2" t="str">
        <f>IFERROR(__xludf.DUMMYFUNCTION("""COMPUTED_VALUE"""),"random")</f>
        <v>random</v>
      </c>
      <c r="J278" s="2">
        <f t="shared" si="2"/>
        <v>17</v>
      </c>
      <c r="K278" s="2">
        <f t="shared" si="3"/>
        <v>500000</v>
      </c>
      <c r="L278" s="2" t="str">
        <f t="shared" si="4"/>
        <v>P</v>
      </c>
    </row>
    <row r="279">
      <c r="A279" s="2" t="str">
        <f>IFERROR(__xludf.DUMMYFUNCTION("""COMPUTED_VALUE"""),"examples/random/sparse_1000_3_1")</f>
        <v>examples/random/sparse_1000_3_1</v>
      </c>
      <c r="B279" s="4">
        <f>IFERROR(__xludf.DUMMYFUNCTION("""COMPUTED_VALUE"""),4000.0)</f>
        <v>4000</v>
      </c>
      <c r="C279" s="4">
        <f>IFERROR(__xludf.DUMMYFUNCTION("""COMPUTED_VALUE"""),60.0)</f>
        <v>60</v>
      </c>
      <c r="D279" s="4">
        <f>IFERROR(__xludf.DUMMYFUNCTION("""COMPUTED_VALUE"""),13337.0)</f>
        <v>13337</v>
      </c>
      <c r="E279" s="4">
        <f>IFERROR(__xludf.DUMMYFUNCTION("""COMPUTED_VALUE"""),28.0)</f>
        <v>28</v>
      </c>
      <c r="F279" s="4">
        <f>IFERROR(__xludf.DUMMYFUNCTION("""COMPUTED_VALUE"""),50.0)</f>
        <v>50</v>
      </c>
      <c r="G279" s="4">
        <f>IFERROR(__xludf.DUMMYFUNCTION("""COMPUTED_VALUE"""),8.0)</f>
        <v>8</v>
      </c>
      <c r="H279" s="4">
        <f>IFERROR(__xludf.DUMMYFUNCTION("""COMPUTED_VALUE"""),1.0)</f>
        <v>1</v>
      </c>
      <c r="I279" s="2" t="str">
        <f>IFERROR(__xludf.DUMMYFUNCTION("""COMPUTED_VALUE"""),"random")</f>
        <v>random</v>
      </c>
      <c r="J279" s="2">
        <f t="shared" si="2"/>
        <v>11</v>
      </c>
      <c r="K279" s="2">
        <f t="shared" si="3"/>
        <v>5000</v>
      </c>
      <c r="L279" s="2" t="str">
        <f t="shared" si="4"/>
        <v>P</v>
      </c>
    </row>
    <row r="280">
      <c r="A280" s="2" t="str">
        <f>IFERROR(__xludf.DUMMYFUNCTION("""COMPUTED_VALUE"""),"examples/random/sparse_100000_10_10")</f>
        <v>examples/random/sparse_100000_10_10</v>
      </c>
      <c r="B280" s="4">
        <f>IFERROR(__xludf.DUMMYFUNCTION("""COMPUTED_VALUE"""),1100000.0)</f>
        <v>1100000</v>
      </c>
      <c r="C280" s="4">
        <f>IFERROR(__xludf.DUMMYFUNCTION("""COMPUTED_VALUE"""),60.0)</f>
        <v>60</v>
      </c>
      <c r="D280" s="4">
        <f>IFERROR(__xludf.DUMMYFUNCTION("""COMPUTED_VALUE"""),60000.0)</f>
        <v>60000</v>
      </c>
      <c r="E280" s="4">
        <f>IFERROR(__xludf.DUMMYFUNCTION("""COMPUTED_VALUE"""),60000.0)</f>
        <v>60000</v>
      </c>
      <c r="F280" s="4">
        <f>IFERROR(__xludf.DUMMYFUNCTION("""COMPUTED_VALUE"""),60000.0)</f>
        <v>60000</v>
      </c>
      <c r="G280" s="4">
        <f>IFERROR(__xludf.DUMMYFUNCTION("""COMPUTED_VALUE"""),1553.0)</f>
        <v>1553</v>
      </c>
      <c r="H280" s="4">
        <f>IFERROR(__xludf.DUMMYFUNCTION("""COMPUTED_VALUE"""),477.0)</f>
        <v>477</v>
      </c>
      <c r="I280" s="2" t="str">
        <f>IFERROR(__xludf.DUMMYFUNCTION("""COMPUTED_VALUE"""),"random")</f>
        <v>random</v>
      </c>
      <c r="J280" s="2">
        <f t="shared" si="2"/>
        <v>18</v>
      </c>
      <c r="K280" s="2">
        <f t="shared" si="3"/>
        <v>1000000</v>
      </c>
      <c r="L280" s="2" t="str">
        <f t="shared" si="4"/>
        <v>P</v>
      </c>
    </row>
    <row r="281">
      <c r="A281" s="2" t="str">
        <f>IFERROR(__xludf.DUMMYFUNCTION("""COMPUTED_VALUE"""),"examples/random/dense_300_3_2")</f>
        <v>examples/random/dense_300_3_2</v>
      </c>
      <c r="B281" s="4">
        <f>IFERROR(__xludf.DUMMYFUNCTION("""COMPUTED_VALUE"""),3101.0)</f>
        <v>3101</v>
      </c>
      <c r="C281" s="4">
        <f>IFERROR(__xludf.DUMMYFUNCTION("""COMPUTED_VALUE"""),60.0)</f>
        <v>60</v>
      </c>
      <c r="D281" s="4">
        <f>IFERROR(__xludf.DUMMYFUNCTION("""COMPUTED_VALUE"""),1198.0)</f>
        <v>1198</v>
      </c>
      <c r="E281" s="4">
        <f>IFERROR(__xludf.DUMMYFUNCTION("""COMPUTED_VALUE"""),12.0)</f>
        <v>12</v>
      </c>
      <c r="F281" s="4">
        <f>IFERROR(__xludf.DUMMYFUNCTION("""COMPUTED_VALUE"""),16.0)</f>
        <v>16</v>
      </c>
      <c r="G281" s="4">
        <f>IFERROR(__xludf.DUMMYFUNCTION("""COMPUTED_VALUE"""),2.0)</f>
        <v>2</v>
      </c>
      <c r="H281" s="4">
        <f>IFERROR(__xludf.DUMMYFUNCTION("""COMPUTED_VALUE"""),0.0)</f>
        <v>0</v>
      </c>
      <c r="I281" s="2" t="str">
        <f>IFERROR(__xludf.DUMMYFUNCTION("""COMPUTED_VALUE"""),"random")</f>
        <v>random</v>
      </c>
      <c r="J281" s="2">
        <f t="shared" si="2"/>
        <v>10</v>
      </c>
      <c r="K281" s="2">
        <f t="shared" si="3"/>
        <v>2000</v>
      </c>
      <c r="L281" s="2" t="str">
        <f t="shared" si="4"/>
        <v>P</v>
      </c>
    </row>
    <row r="282">
      <c r="A282" s="2" t="str">
        <f>IFERROR(__xludf.DUMMYFUNCTION("""COMPUTED_VALUE"""),"examples/random/sparse_3000_1_1")</f>
        <v>examples/random/sparse_3000_1_1</v>
      </c>
      <c r="B282" s="4">
        <f>IFERROR(__xludf.DUMMYFUNCTION("""COMPUTED_VALUE"""),6000.0)</f>
        <v>6000</v>
      </c>
      <c r="C282" s="4">
        <f>IFERROR(__xludf.DUMMYFUNCTION("""COMPUTED_VALUE"""),60.0)</f>
        <v>60</v>
      </c>
      <c r="D282" s="4">
        <f>IFERROR(__xludf.DUMMYFUNCTION("""COMPUTED_VALUE"""),1521.0)</f>
        <v>1521</v>
      </c>
      <c r="E282" s="4">
        <f>IFERROR(__xludf.DUMMYFUNCTION("""COMPUTED_VALUE"""),6.0)</f>
        <v>6</v>
      </c>
      <c r="F282" s="4">
        <f>IFERROR(__xludf.DUMMYFUNCTION("""COMPUTED_VALUE"""),5.0)</f>
        <v>5</v>
      </c>
      <c r="G282" s="4">
        <f>IFERROR(__xludf.DUMMYFUNCTION("""COMPUTED_VALUE"""),30.0)</f>
        <v>30</v>
      </c>
      <c r="H282" s="4">
        <f>IFERROR(__xludf.DUMMYFUNCTION("""COMPUTED_VALUE"""),4.0)</f>
        <v>4</v>
      </c>
      <c r="I282" s="2" t="str">
        <f>IFERROR(__xludf.DUMMYFUNCTION("""COMPUTED_VALUE"""),"random")</f>
        <v>random</v>
      </c>
      <c r="J282" s="2">
        <f t="shared" si="2"/>
        <v>11</v>
      </c>
      <c r="K282" s="2">
        <f t="shared" si="3"/>
        <v>5000</v>
      </c>
      <c r="L282" s="2" t="str">
        <f t="shared" si="4"/>
        <v>P</v>
      </c>
    </row>
    <row r="283">
      <c r="A283" s="2" t="str">
        <f>IFERROR(__xludf.DUMMYFUNCTION("""COMPUTED_VALUE"""),"examples/random/sparse_1000_3_4")</f>
        <v>examples/random/sparse_1000_3_4</v>
      </c>
      <c r="B283" s="4">
        <f>IFERROR(__xludf.DUMMYFUNCTION("""COMPUTED_VALUE"""),4000.0)</f>
        <v>4000</v>
      </c>
      <c r="C283" s="4">
        <f>IFERROR(__xludf.DUMMYFUNCTION("""COMPUTED_VALUE"""),60.0)</f>
        <v>60</v>
      </c>
      <c r="D283" s="4">
        <f>IFERROR(__xludf.DUMMYFUNCTION("""COMPUTED_VALUE"""),13594.0)</f>
        <v>13594</v>
      </c>
      <c r="E283" s="4">
        <f>IFERROR(__xludf.DUMMYFUNCTION("""COMPUTED_VALUE"""),29.0)</f>
        <v>29</v>
      </c>
      <c r="F283" s="4">
        <f>IFERROR(__xludf.DUMMYFUNCTION("""COMPUTED_VALUE"""),55.0)</f>
        <v>55</v>
      </c>
      <c r="G283" s="4">
        <f>IFERROR(__xludf.DUMMYFUNCTION("""COMPUTED_VALUE"""),8.0)</f>
        <v>8</v>
      </c>
      <c r="H283" s="4">
        <f>IFERROR(__xludf.DUMMYFUNCTION("""COMPUTED_VALUE"""),1.0)</f>
        <v>1</v>
      </c>
      <c r="I283" s="2" t="str">
        <f>IFERROR(__xludf.DUMMYFUNCTION("""COMPUTED_VALUE"""),"random")</f>
        <v>random</v>
      </c>
      <c r="J283" s="2">
        <f t="shared" si="2"/>
        <v>11</v>
      </c>
      <c r="K283" s="2">
        <f t="shared" si="3"/>
        <v>5000</v>
      </c>
      <c r="L283" s="2" t="str">
        <f t="shared" si="4"/>
        <v>P</v>
      </c>
    </row>
    <row r="284">
      <c r="A284" s="2" t="str">
        <f>IFERROR(__xludf.DUMMYFUNCTION("""COMPUTED_VALUE"""),"examples/random/dense_300_2_8")</f>
        <v>examples/random/dense_300_2_8</v>
      </c>
      <c r="B284" s="4">
        <f>IFERROR(__xludf.DUMMYFUNCTION("""COMPUTED_VALUE"""),2084.0)</f>
        <v>2084</v>
      </c>
      <c r="C284" s="4">
        <f>IFERROR(__xludf.DUMMYFUNCTION("""COMPUTED_VALUE"""),60.0)</f>
        <v>60</v>
      </c>
      <c r="D284" s="4">
        <f>IFERROR(__xludf.DUMMYFUNCTION("""COMPUTED_VALUE"""),793.0)</f>
        <v>793</v>
      </c>
      <c r="E284" s="4">
        <f>IFERROR(__xludf.DUMMYFUNCTION("""COMPUTED_VALUE"""),7.0)</f>
        <v>7</v>
      </c>
      <c r="F284" s="4">
        <f>IFERROR(__xludf.DUMMYFUNCTION("""COMPUTED_VALUE"""),10.0)</f>
        <v>10</v>
      </c>
      <c r="G284" s="4">
        <f>IFERROR(__xludf.DUMMYFUNCTION("""COMPUTED_VALUE"""),2.0)</f>
        <v>2</v>
      </c>
      <c r="H284" s="4">
        <f>IFERROR(__xludf.DUMMYFUNCTION("""COMPUTED_VALUE"""),0.0)</f>
        <v>0</v>
      </c>
      <c r="I284" s="2" t="str">
        <f>IFERROR(__xludf.DUMMYFUNCTION("""COMPUTED_VALUE"""),"random")</f>
        <v>random</v>
      </c>
      <c r="J284" s="2">
        <f t="shared" si="2"/>
        <v>10</v>
      </c>
      <c r="K284" s="2">
        <f t="shared" si="3"/>
        <v>2000</v>
      </c>
      <c r="L284" s="2" t="str">
        <f t="shared" si="4"/>
        <v>P</v>
      </c>
    </row>
    <row r="285">
      <c r="A285" s="2" t="str">
        <f>IFERROR(__xludf.DUMMYFUNCTION("""COMPUTED_VALUE"""),"examples/random/sparse_3000_2_5")</f>
        <v>examples/random/sparse_3000_2_5</v>
      </c>
      <c r="B285" s="4">
        <f>IFERROR(__xludf.DUMMYFUNCTION("""COMPUTED_VALUE"""),9000.0)</f>
        <v>9000</v>
      </c>
      <c r="C285" s="4">
        <f>IFERROR(__xludf.DUMMYFUNCTION("""COMPUTED_VALUE"""),60.0)</f>
        <v>60</v>
      </c>
      <c r="D285" s="4">
        <f>IFERROR(__xludf.DUMMYFUNCTION("""COMPUTED_VALUE"""),60000.0)</f>
        <v>60000</v>
      </c>
      <c r="E285" s="4">
        <f>IFERROR(__xludf.DUMMYFUNCTION("""COMPUTED_VALUE"""),119.0)</f>
        <v>119</v>
      </c>
      <c r="F285" s="4">
        <f>IFERROR(__xludf.DUMMYFUNCTION("""COMPUTED_VALUE"""),215.0)</f>
        <v>215</v>
      </c>
      <c r="G285" s="4">
        <f>IFERROR(__xludf.DUMMYFUNCTION("""COMPUTED_VALUE"""),25.0)</f>
        <v>25</v>
      </c>
      <c r="H285" s="4">
        <f>IFERROR(__xludf.DUMMYFUNCTION("""COMPUTED_VALUE"""),5.0)</f>
        <v>5</v>
      </c>
      <c r="I285" s="2" t="str">
        <f>IFERROR(__xludf.DUMMYFUNCTION("""COMPUTED_VALUE"""),"random")</f>
        <v>random</v>
      </c>
      <c r="J285" s="2">
        <f t="shared" si="2"/>
        <v>12</v>
      </c>
      <c r="K285" s="2">
        <f t="shared" si="3"/>
        <v>10000</v>
      </c>
      <c r="L285" s="2" t="str">
        <f t="shared" si="4"/>
        <v>P</v>
      </c>
    </row>
    <row r="286">
      <c r="A286" s="2" t="str">
        <f>IFERROR(__xludf.DUMMYFUNCTION("""COMPUTED_VALUE"""),"examples/random/sparse_10000_10_2")</f>
        <v>examples/random/sparse_10000_10_2</v>
      </c>
      <c r="B286" s="4">
        <f>IFERROR(__xludf.DUMMYFUNCTION("""COMPUTED_VALUE"""),110000.0)</f>
        <v>110000</v>
      </c>
      <c r="C286" s="4">
        <f>IFERROR(__xludf.DUMMYFUNCTION("""COMPUTED_VALUE"""),60.0)</f>
        <v>60</v>
      </c>
      <c r="D286" s="4">
        <f>IFERROR(__xludf.DUMMYFUNCTION("""COMPUTED_VALUE"""),60000.0)</f>
        <v>60000</v>
      </c>
      <c r="E286" s="4">
        <f>IFERROR(__xludf.DUMMYFUNCTION("""COMPUTED_VALUE"""),16101.0)</f>
        <v>16101</v>
      </c>
      <c r="F286" s="4">
        <f>IFERROR(__xludf.DUMMYFUNCTION("""COMPUTED_VALUE"""),23544.0)</f>
        <v>23544</v>
      </c>
      <c r="G286" s="4">
        <f>IFERROR(__xludf.DUMMYFUNCTION("""COMPUTED_VALUE"""),103.0)</f>
        <v>103</v>
      </c>
      <c r="H286" s="4">
        <f>IFERROR(__xludf.DUMMYFUNCTION("""COMPUTED_VALUE"""),34.0)</f>
        <v>34</v>
      </c>
      <c r="I286" s="2" t="str">
        <f>IFERROR(__xludf.DUMMYFUNCTION("""COMPUTED_VALUE"""),"random")</f>
        <v>random</v>
      </c>
      <c r="J286" s="2">
        <f t="shared" si="2"/>
        <v>15</v>
      </c>
      <c r="K286" s="2">
        <f t="shared" si="3"/>
        <v>100000</v>
      </c>
      <c r="L286" s="2" t="str">
        <f t="shared" si="4"/>
        <v>P</v>
      </c>
    </row>
    <row r="287">
      <c r="A287" s="2" t="str">
        <f>IFERROR(__xludf.DUMMYFUNCTION("""COMPUTED_VALUE"""),"examples/random/sparse_30000_1_7")</f>
        <v>examples/random/sparse_30000_1_7</v>
      </c>
      <c r="B287" s="4">
        <f>IFERROR(__xludf.DUMMYFUNCTION("""COMPUTED_VALUE"""),60000.0)</f>
        <v>60000</v>
      </c>
      <c r="C287" s="4">
        <f>IFERROR(__xludf.DUMMYFUNCTION("""COMPUTED_VALUE"""),60.0)</f>
        <v>60</v>
      </c>
      <c r="D287" s="4">
        <f>IFERROR(__xludf.DUMMYFUNCTION("""COMPUTED_VALUE"""),60000.0)</f>
        <v>60000</v>
      </c>
      <c r="E287" s="4">
        <f>IFERROR(__xludf.DUMMYFUNCTION("""COMPUTED_VALUE"""),72.0)</f>
        <v>72</v>
      </c>
      <c r="F287" s="4">
        <f>IFERROR(__xludf.DUMMYFUNCTION("""COMPUTED_VALUE"""),68.0)</f>
        <v>68</v>
      </c>
      <c r="G287" s="4">
        <f>IFERROR(__xludf.DUMMYFUNCTION("""COMPUTED_VALUE"""),375.0)</f>
        <v>375</v>
      </c>
      <c r="H287" s="4">
        <f>IFERROR(__xludf.DUMMYFUNCTION("""COMPUTED_VALUE"""),53.0)</f>
        <v>53</v>
      </c>
      <c r="I287" s="2" t="str">
        <f>IFERROR(__xludf.DUMMYFUNCTION("""COMPUTED_VALUE"""),"random")</f>
        <v>random</v>
      </c>
      <c r="J287" s="2">
        <f t="shared" si="2"/>
        <v>14</v>
      </c>
      <c r="K287" s="2">
        <f t="shared" si="3"/>
        <v>50000</v>
      </c>
      <c r="L287" s="2" t="str">
        <f t="shared" si="4"/>
        <v>P</v>
      </c>
    </row>
    <row r="288">
      <c r="A288" s="2" t="str">
        <f>IFERROR(__xludf.DUMMYFUNCTION("""COMPUTED_VALUE"""),"examples/random/dense_3000_1_1")</f>
        <v>examples/random/dense_3000_1_1</v>
      </c>
      <c r="B288" s="4">
        <f>IFERROR(__xludf.DUMMYFUNCTION("""COMPUTED_VALUE"""),92819.0)</f>
        <v>92819</v>
      </c>
      <c r="C288" s="4">
        <f>IFERROR(__xludf.DUMMYFUNCTION("""COMPUTED_VALUE"""),60.0)</f>
        <v>60</v>
      </c>
      <c r="D288" s="4">
        <f>IFERROR(__xludf.DUMMYFUNCTION("""COMPUTED_VALUE"""),60000.0)</f>
        <v>60000</v>
      </c>
      <c r="E288" s="4">
        <f>IFERROR(__xludf.DUMMYFUNCTION("""COMPUTED_VALUE"""),4246.0)</f>
        <v>4246</v>
      </c>
      <c r="F288" s="4">
        <f>IFERROR(__xludf.DUMMYFUNCTION("""COMPUTED_VALUE"""),6944.0)</f>
        <v>6944</v>
      </c>
      <c r="G288" s="4">
        <f>IFERROR(__xludf.DUMMYFUNCTION("""COMPUTED_VALUE"""),43.0)</f>
        <v>43</v>
      </c>
      <c r="H288" s="4">
        <f>IFERROR(__xludf.DUMMYFUNCTION("""COMPUTED_VALUE"""),20.0)</f>
        <v>20</v>
      </c>
      <c r="I288" s="2" t="str">
        <f>IFERROR(__xludf.DUMMYFUNCTION("""COMPUTED_VALUE"""),"random")</f>
        <v>random</v>
      </c>
      <c r="J288" s="2">
        <f t="shared" si="2"/>
        <v>15</v>
      </c>
      <c r="K288" s="2">
        <f t="shared" si="3"/>
        <v>100000</v>
      </c>
      <c r="L288" s="2" t="str">
        <f t="shared" si="4"/>
        <v>P</v>
      </c>
    </row>
    <row r="289">
      <c r="A289" s="2" t="str">
        <f>IFERROR(__xludf.DUMMYFUNCTION("""COMPUTED_VALUE"""),"examples/random/sparse_30000_3_9")</f>
        <v>examples/random/sparse_30000_3_9</v>
      </c>
      <c r="B289" s="4">
        <f>IFERROR(__xludf.DUMMYFUNCTION("""COMPUTED_VALUE"""),120000.0)</f>
        <v>120000</v>
      </c>
      <c r="C289" s="4">
        <f>IFERROR(__xludf.DUMMYFUNCTION("""COMPUTED_VALUE"""),60.0)</f>
        <v>60</v>
      </c>
      <c r="D289" s="4">
        <f>IFERROR(__xludf.DUMMYFUNCTION("""COMPUTED_VALUE"""),60000.0)</f>
        <v>60000</v>
      </c>
      <c r="E289" s="4">
        <f>IFERROR(__xludf.DUMMYFUNCTION("""COMPUTED_VALUE"""),31934.0)</f>
        <v>31934</v>
      </c>
      <c r="F289" s="4">
        <f>IFERROR(__xludf.DUMMYFUNCTION("""COMPUTED_VALUE"""),56893.0)</f>
        <v>56893</v>
      </c>
      <c r="G289" s="4">
        <f>IFERROR(__xludf.DUMMYFUNCTION("""COMPUTED_VALUE"""),304.0)</f>
        <v>304</v>
      </c>
      <c r="H289" s="4">
        <f>IFERROR(__xludf.DUMMYFUNCTION("""COMPUTED_VALUE"""),71.0)</f>
        <v>71</v>
      </c>
      <c r="I289" s="2" t="str">
        <f>IFERROR(__xludf.DUMMYFUNCTION("""COMPUTED_VALUE"""),"random")</f>
        <v>random</v>
      </c>
      <c r="J289" s="2">
        <f t="shared" si="2"/>
        <v>15</v>
      </c>
      <c r="K289" s="2">
        <f t="shared" si="3"/>
        <v>100000</v>
      </c>
      <c r="L289" s="2" t="str">
        <f t="shared" si="4"/>
        <v>P</v>
      </c>
    </row>
    <row r="290">
      <c r="A290" s="2" t="str">
        <f>IFERROR(__xludf.DUMMYFUNCTION("""COMPUTED_VALUE"""),"examples/random/sparse_100_10_6")</f>
        <v>examples/random/sparse_100_10_6</v>
      </c>
      <c r="B290" s="4">
        <f>IFERROR(__xludf.DUMMYFUNCTION("""COMPUTED_VALUE"""),1100.0)</f>
        <v>1100</v>
      </c>
      <c r="C290" s="4">
        <f>IFERROR(__xludf.DUMMYFUNCTION("""COMPUTED_VALUE"""),60.0)</f>
        <v>60</v>
      </c>
      <c r="D290" s="4">
        <f>IFERROR(__xludf.DUMMYFUNCTION("""COMPUTED_VALUE"""),52.0)</f>
        <v>52</v>
      </c>
      <c r="E290" s="4">
        <f>IFERROR(__xludf.DUMMYFUNCTION("""COMPUTED_VALUE"""),1.0)</f>
        <v>1</v>
      </c>
      <c r="F290" s="4">
        <f>IFERROR(__xludf.DUMMYFUNCTION("""COMPUTED_VALUE"""),2.0)</f>
        <v>2</v>
      </c>
      <c r="G290" s="4">
        <f>IFERROR(__xludf.DUMMYFUNCTION("""COMPUTED_VALUE"""),0.0)</f>
        <v>0</v>
      </c>
      <c r="H290" s="4">
        <f>IFERROR(__xludf.DUMMYFUNCTION("""COMPUTED_VALUE"""),0.0)</f>
        <v>0</v>
      </c>
      <c r="I290" s="2" t="str">
        <f>IFERROR(__xludf.DUMMYFUNCTION("""COMPUTED_VALUE"""),"random")</f>
        <v>random</v>
      </c>
      <c r="J290" s="2">
        <f t="shared" si="2"/>
        <v>9</v>
      </c>
      <c r="K290" s="2">
        <f t="shared" si="3"/>
        <v>1000</v>
      </c>
      <c r="L290" s="2" t="str">
        <f t="shared" si="4"/>
        <v>JP</v>
      </c>
    </row>
    <row r="291">
      <c r="A291" s="2" t="str">
        <f>IFERROR(__xludf.DUMMYFUNCTION("""COMPUTED_VALUE"""),"examples/random/sparse_30000_10_5")</f>
        <v>examples/random/sparse_30000_10_5</v>
      </c>
      <c r="B291" s="4">
        <f>IFERROR(__xludf.DUMMYFUNCTION("""COMPUTED_VALUE"""),330000.0)</f>
        <v>330000</v>
      </c>
      <c r="C291" s="4">
        <f>IFERROR(__xludf.DUMMYFUNCTION("""COMPUTED_VALUE"""),60.0)</f>
        <v>60</v>
      </c>
      <c r="D291" s="4">
        <f>IFERROR(__xludf.DUMMYFUNCTION("""COMPUTED_VALUE"""),60000.0)</f>
        <v>60000</v>
      </c>
      <c r="E291" s="4">
        <f>IFERROR(__xludf.DUMMYFUNCTION("""COMPUTED_VALUE"""),60000.0)</f>
        <v>60000</v>
      </c>
      <c r="F291" s="4">
        <f>IFERROR(__xludf.DUMMYFUNCTION("""COMPUTED_VALUE"""),60000.0)</f>
        <v>60000</v>
      </c>
      <c r="G291" s="4">
        <f>IFERROR(__xludf.DUMMYFUNCTION("""COMPUTED_VALUE"""),365.0)</f>
        <v>365</v>
      </c>
      <c r="H291" s="4">
        <f>IFERROR(__xludf.DUMMYFUNCTION("""COMPUTED_VALUE"""),114.0)</f>
        <v>114</v>
      </c>
      <c r="I291" s="2" t="str">
        <f>IFERROR(__xludf.DUMMYFUNCTION("""COMPUTED_VALUE"""),"random")</f>
        <v>random</v>
      </c>
      <c r="J291" s="2">
        <f t="shared" si="2"/>
        <v>17</v>
      </c>
      <c r="K291" s="2">
        <f t="shared" si="3"/>
        <v>500000</v>
      </c>
      <c r="L291" s="2" t="str">
        <f t="shared" si="4"/>
        <v>P</v>
      </c>
    </row>
    <row r="292">
      <c r="A292" s="2" t="str">
        <f>IFERROR(__xludf.DUMMYFUNCTION("""COMPUTED_VALUE"""),"examples/random/dense_10000_3_10")</f>
        <v>examples/random/dense_10000_3_10</v>
      </c>
      <c r="B292" s="4">
        <f>IFERROR(__xludf.DUMMYFUNCTION("""COMPUTED_VALUE"""),3011932.0)</f>
        <v>3011932</v>
      </c>
      <c r="C292" s="4">
        <f>IFERROR(__xludf.DUMMYFUNCTION("""COMPUTED_VALUE"""),60.0)</f>
        <v>60</v>
      </c>
      <c r="D292" s="4">
        <f>IFERROR(__xludf.DUMMYFUNCTION("""COMPUTED_VALUE"""),60000.0)</f>
        <v>60000</v>
      </c>
      <c r="E292" s="4">
        <f>IFERROR(__xludf.DUMMYFUNCTION("""COMPUTED_VALUE"""),60000.0)</f>
        <v>60000</v>
      </c>
      <c r="F292" s="4">
        <f>IFERROR(__xludf.DUMMYFUNCTION("""COMPUTED_VALUE"""),60000.0)</f>
        <v>60000</v>
      </c>
      <c r="G292" s="4">
        <f>IFERROR(__xludf.DUMMYFUNCTION("""COMPUTED_VALUE"""),945.0)</f>
        <v>945</v>
      </c>
      <c r="H292" s="4">
        <f>IFERROR(__xludf.DUMMYFUNCTION("""COMPUTED_VALUE"""),680.0)</f>
        <v>680</v>
      </c>
      <c r="I292" s="2" t="str">
        <f>IFERROR(__xludf.DUMMYFUNCTION("""COMPUTED_VALUE"""),"random")</f>
        <v>random</v>
      </c>
      <c r="J292" s="2">
        <f t="shared" si="2"/>
        <v>19</v>
      </c>
      <c r="K292" s="2">
        <f t="shared" si="3"/>
        <v>2000000</v>
      </c>
      <c r="L292" s="2" t="str">
        <f t="shared" si="4"/>
        <v>P</v>
      </c>
    </row>
    <row r="293">
      <c r="A293" s="2" t="str">
        <f>IFERROR(__xludf.DUMMYFUNCTION("""COMPUTED_VALUE"""),"examples/random/sparse_10000_1_3")</f>
        <v>examples/random/sparse_10000_1_3</v>
      </c>
      <c r="B293" s="4">
        <f>IFERROR(__xludf.DUMMYFUNCTION("""COMPUTED_VALUE"""),20000.0)</f>
        <v>20000</v>
      </c>
      <c r="C293" s="4">
        <f>IFERROR(__xludf.DUMMYFUNCTION("""COMPUTED_VALUE"""),60.0)</f>
        <v>60</v>
      </c>
      <c r="D293" s="4">
        <f>IFERROR(__xludf.DUMMYFUNCTION("""COMPUTED_VALUE"""),17942.0)</f>
        <v>17942</v>
      </c>
      <c r="E293" s="4">
        <f>IFERROR(__xludf.DUMMYFUNCTION("""COMPUTED_VALUE"""),24.0)</f>
        <v>24</v>
      </c>
      <c r="F293" s="4">
        <f>IFERROR(__xludf.DUMMYFUNCTION("""COMPUTED_VALUE"""),20.0)</f>
        <v>20</v>
      </c>
      <c r="G293" s="4">
        <f>IFERROR(__xludf.DUMMYFUNCTION("""COMPUTED_VALUE"""),123.0)</f>
        <v>123</v>
      </c>
      <c r="H293" s="4">
        <f>IFERROR(__xludf.DUMMYFUNCTION("""COMPUTED_VALUE"""),15.0)</f>
        <v>15</v>
      </c>
      <c r="I293" s="2" t="str">
        <f>IFERROR(__xludf.DUMMYFUNCTION("""COMPUTED_VALUE"""),"random")</f>
        <v>random</v>
      </c>
      <c r="J293" s="2">
        <f t="shared" si="2"/>
        <v>13</v>
      </c>
      <c r="K293" s="2">
        <f t="shared" si="3"/>
        <v>20000</v>
      </c>
      <c r="L293" s="2" t="str">
        <f t="shared" si="4"/>
        <v>P</v>
      </c>
    </row>
    <row r="294">
      <c r="A294" s="2" t="str">
        <f>IFERROR(__xludf.DUMMYFUNCTION("""COMPUTED_VALUE"""),"examples/random/sparse_10000_2_7")</f>
        <v>examples/random/sparse_10000_2_7</v>
      </c>
      <c r="B294" s="4">
        <f>IFERROR(__xludf.DUMMYFUNCTION("""COMPUTED_VALUE"""),30000.0)</f>
        <v>30000</v>
      </c>
      <c r="C294" s="4">
        <f>IFERROR(__xludf.DUMMYFUNCTION("""COMPUTED_VALUE"""),60.0)</f>
        <v>60</v>
      </c>
      <c r="D294" s="4">
        <f>IFERROR(__xludf.DUMMYFUNCTION("""COMPUTED_VALUE"""),60000.0)</f>
        <v>60000</v>
      </c>
      <c r="E294" s="4">
        <f>IFERROR(__xludf.DUMMYFUNCTION("""COMPUTED_VALUE"""),1368.0)</f>
        <v>1368</v>
      </c>
      <c r="F294" s="4">
        <f>IFERROR(__xludf.DUMMYFUNCTION("""COMPUTED_VALUE"""),2494.0)</f>
        <v>2494</v>
      </c>
      <c r="G294" s="4">
        <f>IFERROR(__xludf.DUMMYFUNCTION("""COMPUTED_VALUE"""),83.0)</f>
        <v>83</v>
      </c>
      <c r="H294" s="4">
        <f>IFERROR(__xludf.DUMMYFUNCTION("""COMPUTED_VALUE"""),18.0)</f>
        <v>18</v>
      </c>
      <c r="I294" s="2" t="str">
        <f>IFERROR(__xludf.DUMMYFUNCTION("""COMPUTED_VALUE"""),"random")</f>
        <v>random</v>
      </c>
      <c r="J294" s="2">
        <f t="shared" si="2"/>
        <v>13</v>
      </c>
      <c r="K294" s="2">
        <f t="shared" si="3"/>
        <v>20000</v>
      </c>
      <c r="L294" s="2" t="str">
        <f t="shared" si="4"/>
        <v>P</v>
      </c>
    </row>
    <row r="295">
      <c r="A295" s="2" t="str">
        <f>IFERROR(__xludf.DUMMYFUNCTION("""COMPUTED_VALUE"""),"examples/random/sparse_100_3_7")</f>
        <v>examples/random/sparse_100_3_7</v>
      </c>
      <c r="B295" s="4">
        <f>IFERROR(__xludf.DUMMYFUNCTION("""COMPUTED_VALUE"""),400.0)</f>
        <v>400</v>
      </c>
      <c r="C295" s="4">
        <f>IFERROR(__xludf.DUMMYFUNCTION("""COMPUTED_VALUE"""),60.0)</f>
        <v>60</v>
      </c>
      <c r="D295" s="4">
        <f>IFERROR(__xludf.DUMMYFUNCTION("""COMPUTED_VALUE"""),15.0)</f>
        <v>15</v>
      </c>
      <c r="E295" s="4">
        <f>IFERROR(__xludf.DUMMYFUNCTION("""COMPUTED_VALUE"""),0.0)</f>
        <v>0</v>
      </c>
      <c r="F295" s="4">
        <f>IFERROR(__xludf.DUMMYFUNCTION("""COMPUTED_VALUE"""),0.0)</f>
        <v>0</v>
      </c>
      <c r="G295" s="4">
        <f>IFERROR(__xludf.DUMMYFUNCTION("""COMPUTED_VALUE"""),0.0)</f>
        <v>0</v>
      </c>
      <c r="H295" s="4">
        <f>IFERROR(__xludf.DUMMYFUNCTION("""COMPUTED_VALUE"""),0.0)</f>
        <v>0</v>
      </c>
      <c r="I295" s="2" t="str">
        <f>IFERROR(__xludf.DUMMYFUNCTION("""COMPUTED_VALUE"""),"random")</f>
        <v>random</v>
      </c>
      <c r="J295" s="2">
        <f t="shared" si="2"/>
        <v>8</v>
      </c>
      <c r="K295" s="2">
        <f t="shared" si="3"/>
        <v>500</v>
      </c>
      <c r="L295" s="2">
        <f t="shared" si="4"/>
        <v>0</v>
      </c>
    </row>
    <row r="296">
      <c r="A296" s="2" t="str">
        <f>IFERROR(__xludf.DUMMYFUNCTION("""COMPUTED_VALUE"""),"examples/random/sparse_300_1_4")</f>
        <v>examples/random/sparse_300_1_4</v>
      </c>
      <c r="B296" s="4">
        <f>IFERROR(__xludf.DUMMYFUNCTION("""COMPUTED_VALUE"""),600.0)</f>
        <v>600</v>
      </c>
      <c r="C296" s="4">
        <f>IFERROR(__xludf.DUMMYFUNCTION("""COMPUTED_VALUE"""),60.0)</f>
        <v>60</v>
      </c>
      <c r="D296" s="4">
        <f>IFERROR(__xludf.DUMMYFUNCTION("""COMPUTED_VALUE"""),14.0)</f>
        <v>14</v>
      </c>
      <c r="E296" s="4">
        <f>IFERROR(__xludf.DUMMYFUNCTION("""COMPUTED_VALUE"""),0.0)</f>
        <v>0</v>
      </c>
      <c r="F296" s="4">
        <f>IFERROR(__xludf.DUMMYFUNCTION("""COMPUTED_VALUE"""),0.0)</f>
        <v>0</v>
      </c>
      <c r="G296" s="4">
        <f>IFERROR(__xludf.DUMMYFUNCTION("""COMPUTED_VALUE"""),2.0)</f>
        <v>2</v>
      </c>
      <c r="H296" s="4">
        <f>IFERROR(__xludf.DUMMYFUNCTION("""COMPUTED_VALUE"""),0.0)</f>
        <v>0</v>
      </c>
      <c r="I296" s="2" t="str">
        <f>IFERROR(__xludf.DUMMYFUNCTION("""COMPUTED_VALUE"""),"random")</f>
        <v>random</v>
      </c>
      <c r="J296" s="2">
        <f t="shared" si="2"/>
        <v>8</v>
      </c>
      <c r="K296" s="2">
        <f t="shared" si="3"/>
        <v>500</v>
      </c>
      <c r="L296" s="2" t="str">
        <f t="shared" si="4"/>
        <v>BP</v>
      </c>
    </row>
    <row r="297">
      <c r="A297" s="2" t="str">
        <f>IFERROR(__xludf.DUMMYFUNCTION("""COMPUTED_VALUE"""),"examples/random/sparse_100000_10_8")</f>
        <v>examples/random/sparse_100000_10_8</v>
      </c>
      <c r="B297" s="4">
        <f>IFERROR(__xludf.DUMMYFUNCTION("""COMPUTED_VALUE"""),1100000.0)</f>
        <v>1100000</v>
      </c>
      <c r="C297" s="4">
        <f>IFERROR(__xludf.DUMMYFUNCTION("""COMPUTED_VALUE"""),60.0)</f>
        <v>60</v>
      </c>
      <c r="D297" s="4">
        <f>IFERROR(__xludf.DUMMYFUNCTION("""COMPUTED_VALUE"""),60000.0)</f>
        <v>60000</v>
      </c>
      <c r="E297" s="4">
        <f>IFERROR(__xludf.DUMMYFUNCTION("""COMPUTED_VALUE"""),60000.0)</f>
        <v>60000</v>
      </c>
      <c r="F297" s="4">
        <f>IFERROR(__xludf.DUMMYFUNCTION("""COMPUTED_VALUE"""),60000.0)</f>
        <v>60000</v>
      </c>
      <c r="G297" s="4">
        <f>IFERROR(__xludf.DUMMYFUNCTION("""COMPUTED_VALUE"""),1656.0)</f>
        <v>1656</v>
      </c>
      <c r="H297" s="4">
        <f>IFERROR(__xludf.DUMMYFUNCTION("""COMPUTED_VALUE"""),526.0)</f>
        <v>526</v>
      </c>
      <c r="I297" s="2" t="str">
        <f>IFERROR(__xludf.DUMMYFUNCTION("""COMPUTED_VALUE"""),"random")</f>
        <v>random</v>
      </c>
      <c r="J297" s="2">
        <f t="shared" si="2"/>
        <v>18</v>
      </c>
      <c r="K297" s="2">
        <f t="shared" si="3"/>
        <v>1000000</v>
      </c>
      <c r="L297" s="2" t="str">
        <f t="shared" si="4"/>
        <v>P</v>
      </c>
    </row>
    <row r="298">
      <c r="A298" s="2" t="str">
        <f>IFERROR(__xludf.DUMMYFUNCTION("""COMPUTED_VALUE"""),"examples/random/sparse_30000_2_3")</f>
        <v>examples/random/sparse_30000_2_3</v>
      </c>
      <c r="B298" s="4">
        <f>IFERROR(__xludf.DUMMYFUNCTION("""COMPUTED_VALUE"""),90000.0)</f>
        <v>90000</v>
      </c>
      <c r="C298" s="4">
        <f>IFERROR(__xludf.DUMMYFUNCTION("""COMPUTED_VALUE"""),60.0)</f>
        <v>60</v>
      </c>
      <c r="D298" s="4">
        <f>IFERROR(__xludf.DUMMYFUNCTION("""COMPUTED_VALUE"""),60000.0)</f>
        <v>60000</v>
      </c>
      <c r="E298" s="4">
        <f>IFERROR(__xludf.DUMMYFUNCTION("""COMPUTED_VALUE"""),13473.0)</f>
        <v>13473</v>
      </c>
      <c r="F298" s="4">
        <f>IFERROR(__xludf.DUMMYFUNCTION("""COMPUTED_VALUE"""),24577.0)</f>
        <v>24577</v>
      </c>
      <c r="G298" s="4">
        <f>IFERROR(__xludf.DUMMYFUNCTION("""COMPUTED_VALUE"""),294.0)</f>
        <v>294</v>
      </c>
      <c r="H298" s="4">
        <f>IFERROR(__xludf.DUMMYFUNCTION("""COMPUTED_VALUE"""),63.0)</f>
        <v>63</v>
      </c>
      <c r="I298" s="2" t="str">
        <f>IFERROR(__xludf.DUMMYFUNCTION("""COMPUTED_VALUE"""),"random")</f>
        <v>random</v>
      </c>
      <c r="J298" s="2">
        <f t="shared" si="2"/>
        <v>15</v>
      </c>
      <c r="K298" s="2">
        <f t="shared" si="3"/>
        <v>100000</v>
      </c>
      <c r="L298" s="2" t="str">
        <f t="shared" si="4"/>
        <v>P</v>
      </c>
    </row>
    <row r="299">
      <c r="A299" s="2" t="str">
        <f>IFERROR(__xludf.DUMMYFUNCTION("""COMPUTED_VALUE"""),"examples/random/dense_3000_2_5")</f>
        <v>examples/random/dense_3000_2_5</v>
      </c>
      <c r="B299" s="4">
        <f>IFERROR(__xludf.DUMMYFUNCTION("""COMPUTED_VALUE"""),183060.0)</f>
        <v>183060</v>
      </c>
      <c r="C299" s="4">
        <f>IFERROR(__xludf.DUMMYFUNCTION("""COMPUTED_VALUE"""),60.0)</f>
        <v>60</v>
      </c>
      <c r="D299" s="4">
        <f>IFERROR(__xludf.DUMMYFUNCTION("""COMPUTED_VALUE"""),60000.0)</f>
        <v>60000</v>
      </c>
      <c r="E299" s="4">
        <f>IFERROR(__xludf.DUMMYFUNCTION("""COMPUTED_VALUE"""),8518.0)</f>
        <v>8518</v>
      </c>
      <c r="F299" s="4">
        <f>IFERROR(__xludf.DUMMYFUNCTION("""COMPUTED_VALUE"""),18383.0)</f>
        <v>18383</v>
      </c>
      <c r="G299" s="4">
        <f>IFERROR(__xludf.DUMMYFUNCTION("""COMPUTED_VALUE"""),69.0)</f>
        <v>69</v>
      </c>
      <c r="H299" s="4">
        <f>IFERROR(__xludf.DUMMYFUNCTION("""COMPUTED_VALUE"""),39.0)</f>
        <v>39</v>
      </c>
      <c r="I299" s="2" t="str">
        <f>IFERROR(__xludf.DUMMYFUNCTION("""COMPUTED_VALUE"""),"random")</f>
        <v>random</v>
      </c>
      <c r="J299" s="2">
        <f t="shared" si="2"/>
        <v>16</v>
      </c>
      <c r="K299" s="2">
        <f t="shared" si="3"/>
        <v>200000</v>
      </c>
      <c r="L299" s="2" t="str">
        <f t="shared" si="4"/>
        <v>P</v>
      </c>
    </row>
    <row r="300">
      <c r="A300" s="2" t="str">
        <f>IFERROR(__xludf.DUMMYFUNCTION("""COMPUTED_VALUE"""),"examples/random/sparse_1000_2_10")</f>
        <v>examples/random/sparse_1000_2_10</v>
      </c>
      <c r="B300" s="4">
        <f>IFERROR(__xludf.DUMMYFUNCTION("""COMPUTED_VALUE"""),3000.0)</f>
        <v>3000</v>
      </c>
      <c r="C300" s="4">
        <f>IFERROR(__xludf.DUMMYFUNCTION("""COMPUTED_VALUE"""),60.0)</f>
        <v>60</v>
      </c>
      <c r="D300" s="4">
        <f>IFERROR(__xludf.DUMMYFUNCTION("""COMPUTED_VALUE"""),4688.0)</f>
        <v>4688</v>
      </c>
      <c r="E300" s="4">
        <f>IFERROR(__xludf.DUMMYFUNCTION("""COMPUTED_VALUE"""),13.0)</f>
        <v>13</v>
      </c>
      <c r="F300" s="4">
        <f>IFERROR(__xludf.DUMMYFUNCTION("""COMPUTED_VALUE"""),23.0)</f>
        <v>23</v>
      </c>
      <c r="G300" s="4">
        <f>IFERROR(__xludf.DUMMYFUNCTION("""COMPUTED_VALUE"""),7.0)</f>
        <v>7</v>
      </c>
      <c r="H300" s="4">
        <f>IFERROR(__xludf.DUMMYFUNCTION("""COMPUTED_VALUE"""),1.0)</f>
        <v>1</v>
      </c>
      <c r="I300" s="2" t="str">
        <f>IFERROR(__xludf.DUMMYFUNCTION("""COMPUTED_VALUE"""),"random")</f>
        <v>random</v>
      </c>
      <c r="J300" s="2">
        <f t="shared" si="2"/>
        <v>10</v>
      </c>
      <c r="K300" s="2">
        <f t="shared" si="3"/>
        <v>2000</v>
      </c>
      <c r="L300" s="2" t="str">
        <f t="shared" si="4"/>
        <v>P</v>
      </c>
    </row>
    <row r="301">
      <c r="A301" s="2" t="str">
        <f>IFERROR(__xludf.DUMMYFUNCTION("""COMPUTED_VALUE"""),"examples/random/dense_1000_3_4")</f>
        <v>examples/random/dense_1000_3_4</v>
      </c>
      <c r="B301" s="4">
        <f>IFERROR(__xludf.DUMMYFUNCTION("""COMPUTED_VALUE"""),30611.0)</f>
        <v>30611</v>
      </c>
      <c r="C301" s="4">
        <f>IFERROR(__xludf.DUMMYFUNCTION("""COMPUTED_VALUE"""),60.0)</f>
        <v>60</v>
      </c>
      <c r="D301" s="4">
        <f>IFERROR(__xludf.DUMMYFUNCTION("""COMPUTED_VALUE"""),60000.0)</f>
        <v>60000</v>
      </c>
      <c r="E301" s="4">
        <f>IFERROR(__xludf.DUMMYFUNCTION("""COMPUTED_VALUE"""),441.0)</f>
        <v>441</v>
      </c>
      <c r="F301" s="4">
        <f>IFERROR(__xludf.DUMMYFUNCTION("""COMPUTED_VALUE"""),666.0)</f>
        <v>666</v>
      </c>
      <c r="G301" s="4">
        <f>IFERROR(__xludf.DUMMYFUNCTION("""COMPUTED_VALUE"""),14.0)</f>
        <v>14</v>
      </c>
      <c r="H301" s="4">
        <f>IFERROR(__xludf.DUMMYFUNCTION("""COMPUTED_VALUE"""),6.0)</f>
        <v>6</v>
      </c>
      <c r="I301" s="2" t="str">
        <f>IFERROR(__xludf.DUMMYFUNCTION("""COMPUTED_VALUE"""),"random")</f>
        <v>random</v>
      </c>
      <c r="J301" s="2">
        <f t="shared" si="2"/>
        <v>13</v>
      </c>
      <c r="K301" s="2">
        <f t="shared" si="3"/>
        <v>20000</v>
      </c>
      <c r="L301" s="2" t="str">
        <f t="shared" si="4"/>
        <v>P</v>
      </c>
    </row>
    <row r="302">
      <c r="A302" s="2" t="str">
        <f>IFERROR(__xludf.DUMMYFUNCTION("""COMPUTED_VALUE"""),"examples/random/dense_10000_2_3")</f>
        <v>examples/random/dense_10000_2_3</v>
      </c>
      <c r="B302" s="4">
        <f>IFERROR(__xludf.DUMMYFUNCTION("""COMPUTED_VALUE"""),2009023.0)</f>
        <v>2009023</v>
      </c>
      <c r="C302" s="4">
        <f>IFERROR(__xludf.DUMMYFUNCTION("""COMPUTED_VALUE"""),60.0)</f>
        <v>60</v>
      </c>
      <c r="D302" s="4">
        <f>IFERROR(__xludf.DUMMYFUNCTION("""COMPUTED_VALUE"""),60000.0)</f>
        <v>60000</v>
      </c>
      <c r="E302" s="4">
        <f>IFERROR(__xludf.DUMMYFUNCTION("""COMPUTED_VALUE"""),60000.0)</f>
        <v>60000</v>
      </c>
      <c r="F302" s="4">
        <f>IFERROR(__xludf.DUMMYFUNCTION("""COMPUTED_VALUE"""),60000.0)</f>
        <v>60000</v>
      </c>
      <c r="G302" s="4">
        <f>IFERROR(__xludf.DUMMYFUNCTION("""COMPUTED_VALUE"""),637.0)</f>
        <v>637</v>
      </c>
      <c r="H302" s="4">
        <f>IFERROR(__xludf.DUMMYFUNCTION("""COMPUTED_VALUE"""),443.0)</f>
        <v>443</v>
      </c>
      <c r="I302" s="2" t="str">
        <f>IFERROR(__xludf.DUMMYFUNCTION("""COMPUTED_VALUE"""),"random")</f>
        <v>random</v>
      </c>
      <c r="J302" s="2">
        <f t="shared" si="2"/>
        <v>19</v>
      </c>
      <c r="K302" s="2">
        <f t="shared" si="3"/>
        <v>2000000</v>
      </c>
      <c r="L302" s="2" t="str">
        <f t="shared" si="4"/>
        <v>P</v>
      </c>
    </row>
    <row r="303">
      <c r="A303" s="2" t="str">
        <f>IFERROR(__xludf.DUMMYFUNCTION("""COMPUTED_VALUE"""),"examples/random/sparse_1000_10_6")</f>
        <v>examples/random/sparse_1000_10_6</v>
      </c>
      <c r="B303" s="4">
        <f>IFERROR(__xludf.DUMMYFUNCTION("""COMPUTED_VALUE"""),11000.0)</f>
        <v>11000</v>
      </c>
      <c r="C303" s="4">
        <f>IFERROR(__xludf.DUMMYFUNCTION("""COMPUTED_VALUE"""),60.0)</f>
        <v>60</v>
      </c>
      <c r="D303" s="4">
        <f>IFERROR(__xludf.DUMMYFUNCTION("""COMPUTED_VALUE"""),50157.0)</f>
        <v>50157</v>
      </c>
      <c r="E303" s="4">
        <f>IFERROR(__xludf.DUMMYFUNCTION("""COMPUTED_VALUE"""),146.0)</f>
        <v>146</v>
      </c>
      <c r="F303" s="4">
        <f>IFERROR(__xludf.DUMMYFUNCTION("""COMPUTED_VALUE"""),210.0)</f>
        <v>210</v>
      </c>
      <c r="G303" s="4">
        <f>IFERROR(__xludf.DUMMYFUNCTION("""COMPUTED_VALUE"""),11.0)</f>
        <v>11</v>
      </c>
      <c r="H303" s="4">
        <f>IFERROR(__xludf.DUMMYFUNCTION("""COMPUTED_VALUE"""),3.0)</f>
        <v>3</v>
      </c>
      <c r="I303" s="2" t="str">
        <f>IFERROR(__xludf.DUMMYFUNCTION("""COMPUTED_VALUE"""),"random")</f>
        <v>random</v>
      </c>
      <c r="J303" s="2">
        <f t="shared" si="2"/>
        <v>12</v>
      </c>
      <c r="K303" s="2">
        <f t="shared" si="3"/>
        <v>10000</v>
      </c>
      <c r="L303" s="2" t="str">
        <f t="shared" si="4"/>
        <v>P</v>
      </c>
    </row>
    <row r="304">
      <c r="A304" s="2" t="str">
        <f>IFERROR(__xludf.DUMMYFUNCTION("""COMPUTED_VALUE"""),"examples/random/dense_3000_2_10")</f>
        <v>examples/random/dense_3000_2_10</v>
      </c>
      <c r="B304" s="4">
        <f>IFERROR(__xludf.DUMMYFUNCTION("""COMPUTED_VALUE"""),183349.0)</f>
        <v>183349</v>
      </c>
      <c r="C304" s="4">
        <f>IFERROR(__xludf.DUMMYFUNCTION("""COMPUTED_VALUE"""),60.0)</f>
        <v>60</v>
      </c>
      <c r="D304" s="4">
        <f>IFERROR(__xludf.DUMMYFUNCTION("""COMPUTED_VALUE"""),60000.0)</f>
        <v>60000</v>
      </c>
      <c r="E304" s="4">
        <f>IFERROR(__xludf.DUMMYFUNCTION("""COMPUTED_VALUE"""),8553.0)</f>
        <v>8553</v>
      </c>
      <c r="F304" s="4">
        <f>IFERROR(__xludf.DUMMYFUNCTION("""COMPUTED_VALUE"""),18696.0)</f>
        <v>18696</v>
      </c>
      <c r="G304" s="4">
        <f>IFERROR(__xludf.DUMMYFUNCTION("""COMPUTED_VALUE"""),70.0)</f>
        <v>70</v>
      </c>
      <c r="H304" s="4">
        <f>IFERROR(__xludf.DUMMYFUNCTION("""COMPUTED_VALUE"""),39.0)</f>
        <v>39</v>
      </c>
      <c r="I304" s="2" t="str">
        <f>IFERROR(__xludf.DUMMYFUNCTION("""COMPUTED_VALUE"""),"random")</f>
        <v>random</v>
      </c>
      <c r="J304" s="2">
        <f t="shared" si="2"/>
        <v>16</v>
      </c>
      <c r="K304" s="2">
        <f t="shared" si="3"/>
        <v>200000</v>
      </c>
      <c r="L304" s="2" t="str">
        <f t="shared" si="4"/>
        <v>P</v>
      </c>
    </row>
    <row r="305">
      <c r="A305" s="2" t="str">
        <f>IFERROR(__xludf.DUMMYFUNCTION("""COMPUTED_VALUE"""),"examples/random/sparse_100000_1_7")</f>
        <v>examples/random/sparse_100000_1_7</v>
      </c>
      <c r="B305" s="4">
        <f>IFERROR(__xludf.DUMMYFUNCTION("""COMPUTED_VALUE"""),200000.0)</f>
        <v>200000</v>
      </c>
      <c r="C305" s="4">
        <f>IFERROR(__xludf.DUMMYFUNCTION("""COMPUTED_VALUE"""),60.0)</f>
        <v>60</v>
      </c>
      <c r="D305" s="4">
        <f>IFERROR(__xludf.DUMMYFUNCTION("""COMPUTED_VALUE"""),60000.0)</f>
        <v>60000</v>
      </c>
      <c r="E305" s="4">
        <f>IFERROR(__xludf.DUMMYFUNCTION("""COMPUTED_VALUE"""),334.0)</f>
        <v>334</v>
      </c>
      <c r="F305" s="4">
        <f>IFERROR(__xludf.DUMMYFUNCTION("""COMPUTED_VALUE"""),295.0)</f>
        <v>295</v>
      </c>
      <c r="G305" s="4">
        <f>IFERROR(__xludf.DUMMYFUNCTION("""COMPUTED_VALUE"""),1537.0)</f>
        <v>1537</v>
      </c>
      <c r="H305" s="4">
        <f>IFERROR(__xludf.DUMMYFUNCTION("""COMPUTED_VALUE"""),202.0)</f>
        <v>202</v>
      </c>
      <c r="I305" s="2" t="str">
        <f>IFERROR(__xludf.DUMMYFUNCTION("""COMPUTED_VALUE"""),"random")</f>
        <v>random</v>
      </c>
      <c r="J305" s="2">
        <f t="shared" si="2"/>
        <v>16</v>
      </c>
      <c r="K305" s="2">
        <f t="shared" si="3"/>
        <v>200000</v>
      </c>
      <c r="L305" s="2" t="str">
        <f t="shared" si="4"/>
        <v>P</v>
      </c>
    </row>
    <row r="306">
      <c r="A306" s="2" t="str">
        <f>IFERROR(__xludf.DUMMYFUNCTION("""COMPUTED_VALUE"""),"examples/random/sparse_3000_10_2")</f>
        <v>examples/random/sparse_3000_10_2</v>
      </c>
      <c r="B306" s="4">
        <f>IFERROR(__xludf.DUMMYFUNCTION("""COMPUTED_VALUE"""),33000.0)</f>
        <v>33000</v>
      </c>
      <c r="C306" s="4">
        <f>IFERROR(__xludf.DUMMYFUNCTION("""COMPUTED_VALUE"""),60.0)</f>
        <v>60</v>
      </c>
      <c r="D306" s="4">
        <f>IFERROR(__xludf.DUMMYFUNCTION("""COMPUTED_VALUE"""),60000.0)</f>
        <v>60000</v>
      </c>
      <c r="E306" s="4">
        <f>IFERROR(__xludf.DUMMYFUNCTION("""COMPUTED_VALUE"""),1335.0)</f>
        <v>1335</v>
      </c>
      <c r="F306" s="4">
        <f>IFERROR(__xludf.DUMMYFUNCTION("""COMPUTED_VALUE"""),2005.0)</f>
        <v>2005</v>
      </c>
      <c r="G306" s="4">
        <f>IFERROR(__xludf.DUMMYFUNCTION("""COMPUTED_VALUE"""),29.0)</f>
        <v>29</v>
      </c>
      <c r="H306" s="4">
        <f>IFERROR(__xludf.DUMMYFUNCTION("""COMPUTED_VALUE"""),9.0)</f>
        <v>9</v>
      </c>
      <c r="I306" s="2" t="str">
        <f>IFERROR(__xludf.DUMMYFUNCTION("""COMPUTED_VALUE"""),"random")</f>
        <v>random</v>
      </c>
      <c r="J306" s="2">
        <f t="shared" si="2"/>
        <v>14</v>
      </c>
      <c r="K306" s="2">
        <f t="shared" si="3"/>
        <v>50000</v>
      </c>
      <c r="L306" s="2" t="str">
        <f t="shared" si="4"/>
        <v>P</v>
      </c>
    </row>
    <row r="307">
      <c r="A307" s="2" t="str">
        <f>IFERROR(__xludf.DUMMYFUNCTION("""COMPUTED_VALUE"""),"examples/random/dense_300_2_1")</f>
        <v>examples/random/dense_300_2_1</v>
      </c>
      <c r="B307" s="4">
        <f>IFERROR(__xludf.DUMMYFUNCTION("""COMPUTED_VALUE"""),2100.0)</f>
        <v>2100</v>
      </c>
      <c r="C307" s="4">
        <f>IFERROR(__xludf.DUMMYFUNCTION("""COMPUTED_VALUE"""),60.0)</f>
        <v>60</v>
      </c>
      <c r="D307" s="4">
        <f>IFERROR(__xludf.DUMMYFUNCTION("""COMPUTED_VALUE"""),822.0)</f>
        <v>822</v>
      </c>
      <c r="E307" s="4">
        <f>IFERROR(__xludf.DUMMYFUNCTION("""COMPUTED_VALUE"""),6.0)</f>
        <v>6</v>
      </c>
      <c r="F307" s="4">
        <f>IFERROR(__xludf.DUMMYFUNCTION("""COMPUTED_VALUE"""),10.0)</f>
        <v>10</v>
      </c>
      <c r="G307" s="4">
        <f>IFERROR(__xludf.DUMMYFUNCTION("""COMPUTED_VALUE"""),2.0)</f>
        <v>2</v>
      </c>
      <c r="H307" s="4">
        <f>IFERROR(__xludf.DUMMYFUNCTION("""COMPUTED_VALUE"""),0.0)</f>
        <v>0</v>
      </c>
      <c r="I307" s="2" t="str">
        <f>IFERROR(__xludf.DUMMYFUNCTION("""COMPUTED_VALUE"""),"random")</f>
        <v>random</v>
      </c>
      <c r="J307" s="2">
        <f t="shared" si="2"/>
        <v>10</v>
      </c>
      <c r="K307" s="2">
        <f t="shared" si="3"/>
        <v>2000</v>
      </c>
      <c r="L307" s="2" t="str">
        <f t="shared" si="4"/>
        <v>P</v>
      </c>
    </row>
    <row r="308">
      <c r="A308" s="2" t="str">
        <f>IFERROR(__xludf.DUMMYFUNCTION("""COMPUTED_VALUE"""),"examples/random/sparse_1000_1_3")</f>
        <v>examples/random/sparse_1000_1_3</v>
      </c>
      <c r="B308" s="4">
        <f>IFERROR(__xludf.DUMMYFUNCTION("""COMPUTED_VALUE"""),2000.0)</f>
        <v>2000</v>
      </c>
      <c r="C308" s="4">
        <f>IFERROR(__xludf.DUMMYFUNCTION("""COMPUTED_VALUE"""),60.0)</f>
        <v>60</v>
      </c>
      <c r="D308" s="4">
        <f>IFERROR(__xludf.DUMMYFUNCTION("""COMPUTED_VALUE"""),163.0)</f>
        <v>163</v>
      </c>
      <c r="E308" s="4">
        <f>IFERROR(__xludf.DUMMYFUNCTION("""COMPUTED_VALUE"""),2.0)</f>
        <v>2</v>
      </c>
      <c r="F308" s="4">
        <f>IFERROR(__xludf.DUMMYFUNCTION("""COMPUTED_VALUE"""),1.0)</f>
        <v>1</v>
      </c>
      <c r="G308" s="4">
        <f>IFERROR(__xludf.DUMMYFUNCTION("""COMPUTED_VALUE"""),9.0)</f>
        <v>9</v>
      </c>
      <c r="H308" s="4">
        <f>IFERROR(__xludf.DUMMYFUNCTION("""COMPUTED_VALUE"""),1.0)</f>
        <v>1</v>
      </c>
      <c r="I308" s="2" t="str">
        <f>IFERROR(__xludf.DUMMYFUNCTION("""COMPUTED_VALUE"""),"random")</f>
        <v>random</v>
      </c>
      <c r="J308" s="2">
        <f t="shared" si="2"/>
        <v>10</v>
      </c>
      <c r="K308" s="2">
        <f t="shared" si="3"/>
        <v>2000</v>
      </c>
      <c r="L308" s="2" t="str">
        <f t="shared" si="4"/>
        <v>BP</v>
      </c>
    </row>
    <row r="309">
      <c r="A309" s="2" t="str">
        <f>IFERROR(__xludf.DUMMYFUNCTION("""COMPUTED_VALUE"""),"examples/random/sparse_100000_3_9")</f>
        <v>examples/random/sparse_100000_3_9</v>
      </c>
      <c r="B309" s="4">
        <f>IFERROR(__xludf.DUMMYFUNCTION("""COMPUTED_VALUE"""),400000.0)</f>
        <v>400000</v>
      </c>
      <c r="C309" s="4">
        <f>IFERROR(__xludf.DUMMYFUNCTION("""COMPUTED_VALUE"""),60.0)</f>
        <v>60</v>
      </c>
      <c r="D309" s="4">
        <f>IFERROR(__xludf.DUMMYFUNCTION("""COMPUTED_VALUE"""),60000.0)</f>
        <v>60000</v>
      </c>
      <c r="E309" s="4">
        <f>IFERROR(__xludf.DUMMYFUNCTION("""COMPUTED_VALUE"""),60000.0)</f>
        <v>60000</v>
      </c>
      <c r="F309" s="4">
        <f>IFERROR(__xludf.DUMMYFUNCTION("""COMPUTED_VALUE"""),60000.0)</f>
        <v>60000</v>
      </c>
      <c r="G309" s="4">
        <f>IFERROR(__xludf.DUMMYFUNCTION("""COMPUTED_VALUE"""),1150.0)</f>
        <v>1150</v>
      </c>
      <c r="H309" s="4">
        <f>IFERROR(__xludf.DUMMYFUNCTION("""COMPUTED_VALUE"""),229.0)</f>
        <v>229</v>
      </c>
      <c r="I309" s="2" t="str">
        <f>IFERROR(__xludf.DUMMYFUNCTION("""COMPUTED_VALUE"""),"random")</f>
        <v>random</v>
      </c>
      <c r="J309" s="2">
        <f t="shared" si="2"/>
        <v>17</v>
      </c>
      <c r="K309" s="2">
        <f t="shared" si="3"/>
        <v>500000</v>
      </c>
      <c r="L309" s="2" t="str">
        <f t="shared" si="4"/>
        <v>P</v>
      </c>
    </row>
    <row r="310">
      <c r="A310" s="2" t="str">
        <f>IFERROR(__xludf.DUMMYFUNCTION("""COMPUTED_VALUE"""),"examples/random/sparse_3000_3_6")</f>
        <v>examples/random/sparse_3000_3_6</v>
      </c>
      <c r="B310" s="4">
        <f>IFERROR(__xludf.DUMMYFUNCTION("""COMPUTED_VALUE"""),12000.0)</f>
        <v>12000</v>
      </c>
      <c r="C310" s="4">
        <f>IFERROR(__xludf.DUMMYFUNCTION("""COMPUTED_VALUE"""),60.0)</f>
        <v>60</v>
      </c>
      <c r="D310" s="4">
        <f>IFERROR(__xludf.DUMMYFUNCTION("""COMPUTED_VALUE"""),60000.0)</f>
        <v>60000</v>
      </c>
      <c r="E310" s="4">
        <f>IFERROR(__xludf.DUMMYFUNCTION("""COMPUTED_VALUE"""),309.0)</f>
        <v>309</v>
      </c>
      <c r="F310" s="4">
        <f>IFERROR(__xludf.DUMMYFUNCTION("""COMPUTED_VALUE"""),492.0)</f>
        <v>492</v>
      </c>
      <c r="G310" s="4">
        <f>IFERROR(__xludf.DUMMYFUNCTION("""COMPUTED_VALUE"""),25.0)</f>
        <v>25</v>
      </c>
      <c r="H310" s="4">
        <f>IFERROR(__xludf.DUMMYFUNCTION("""COMPUTED_VALUE"""),6.0)</f>
        <v>6</v>
      </c>
      <c r="I310" s="2" t="str">
        <f>IFERROR(__xludf.DUMMYFUNCTION("""COMPUTED_VALUE"""),"random")</f>
        <v>random</v>
      </c>
      <c r="J310" s="2">
        <f t="shared" si="2"/>
        <v>12</v>
      </c>
      <c r="K310" s="2">
        <f t="shared" si="3"/>
        <v>10000</v>
      </c>
      <c r="L310" s="2" t="str">
        <f t="shared" si="4"/>
        <v>P</v>
      </c>
    </row>
    <row r="311">
      <c r="A311" s="2" t="str">
        <f>IFERROR(__xludf.DUMMYFUNCTION("""COMPUTED_VALUE"""),"examples/random/sparse_100000_2_3")</f>
        <v>examples/random/sparse_100000_2_3</v>
      </c>
      <c r="B311" s="4">
        <f>IFERROR(__xludf.DUMMYFUNCTION("""COMPUTED_VALUE"""),300000.0)</f>
        <v>300000</v>
      </c>
      <c r="C311" s="4">
        <f>IFERROR(__xludf.DUMMYFUNCTION("""COMPUTED_VALUE"""),60.0)</f>
        <v>60</v>
      </c>
      <c r="D311" s="4">
        <f>IFERROR(__xludf.DUMMYFUNCTION("""COMPUTED_VALUE"""),60000.0)</f>
        <v>60000</v>
      </c>
      <c r="E311" s="4">
        <f>IFERROR(__xludf.DUMMYFUNCTION("""COMPUTED_VALUE"""),60000.0)</f>
        <v>60000</v>
      </c>
      <c r="F311" s="4">
        <f>IFERROR(__xludf.DUMMYFUNCTION("""COMPUTED_VALUE"""),60000.0)</f>
        <v>60000</v>
      </c>
      <c r="G311" s="4">
        <f>IFERROR(__xludf.DUMMYFUNCTION("""COMPUTED_VALUE"""),1111.0)</f>
        <v>1111</v>
      </c>
      <c r="H311" s="4">
        <f>IFERROR(__xludf.DUMMYFUNCTION("""COMPUTED_VALUE"""),210.0)</f>
        <v>210</v>
      </c>
      <c r="I311" s="2" t="str">
        <f>IFERROR(__xludf.DUMMYFUNCTION("""COMPUTED_VALUE"""),"random")</f>
        <v>random</v>
      </c>
      <c r="J311" s="2">
        <f t="shared" si="2"/>
        <v>16</v>
      </c>
      <c r="K311" s="2">
        <f t="shared" si="3"/>
        <v>200000</v>
      </c>
      <c r="L311" s="2" t="str">
        <f t="shared" si="4"/>
        <v>P</v>
      </c>
    </row>
    <row r="312">
      <c r="A312" s="2" t="str">
        <f>IFERROR(__xludf.DUMMYFUNCTION("""COMPUTED_VALUE"""),"examples/random/dense_300_1_5")</f>
        <v>examples/random/dense_300_1_5</v>
      </c>
      <c r="B312" s="4">
        <f>IFERROR(__xludf.DUMMYFUNCTION("""COMPUTED_VALUE"""),1215.0)</f>
        <v>1215</v>
      </c>
      <c r="C312" s="4">
        <f>IFERROR(__xludf.DUMMYFUNCTION("""COMPUTED_VALUE"""),60.0)</f>
        <v>60</v>
      </c>
      <c r="D312" s="4">
        <f>IFERROR(__xludf.DUMMYFUNCTION("""COMPUTED_VALUE"""),370.0)</f>
        <v>370</v>
      </c>
      <c r="E312" s="4">
        <f>IFERROR(__xludf.DUMMYFUNCTION("""COMPUTED_VALUE"""),3.0)</f>
        <v>3</v>
      </c>
      <c r="F312" s="4">
        <f>IFERROR(__xludf.DUMMYFUNCTION("""COMPUTED_VALUE"""),5.0)</f>
        <v>5</v>
      </c>
      <c r="G312" s="4">
        <f>IFERROR(__xludf.DUMMYFUNCTION("""COMPUTED_VALUE"""),2.0)</f>
        <v>2</v>
      </c>
      <c r="H312" s="4">
        <f>IFERROR(__xludf.DUMMYFUNCTION("""COMPUTED_VALUE"""),0.0)</f>
        <v>0</v>
      </c>
      <c r="I312" s="2" t="str">
        <f>IFERROR(__xludf.DUMMYFUNCTION("""COMPUTED_VALUE"""),"random")</f>
        <v>random</v>
      </c>
      <c r="J312" s="2">
        <f t="shared" si="2"/>
        <v>9</v>
      </c>
      <c r="K312" s="2">
        <f t="shared" si="3"/>
        <v>1000</v>
      </c>
      <c r="L312" s="2" t="str">
        <f t="shared" si="4"/>
        <v>P</v>
      </c>
    </row>
    <row r="313">
      <c r="A313" s="2" t="str">
        <f>IFERROR(__xludf.DUMMYFUNCTION("""COMPUTED_VALUE"""),"examples/random/sparse_1000_2_7")</f>
        <v>examples/random/sparse_1000_2_7</v>
      </c>
      <c r="B313" s="4">
        <f>IFERROR(__xludf.DUMMYFUNCTION("""COMPUTED_VALUE"""),3000.0)</f>
        <v>3000</v>
      </c>
      <c r="C313" s="4">
        <f>IFERROR(__xludf.DUMMYFUNCTION("""COMPUTED_VALUE"""),60.0)</f>
        <v>60</v>
      </c>
      <c r="D313" s="4">
        <f>IFERROR(__xludf.DUMMYFUNCTION("""COMPUTED_VALUE"""),5254.0)</f>
        <v>5254</v>
      </c>
      <c r="E313" s="4">
        <f>IFERROR(__xludf.DUMMYFUNCTION("""COMPUTED_VALUE"""),13.0)</f>
        <v>13</v>
      </c>
      <c r="F313" s="4">
        <f>IFERROR(__xludf.DUMMYFUNCTION("""COMPUTED_VALUE"""),23.0)</f>
        <v>23</v>
      </c>
      <c r="G313" s="4">
        <f>IFERROR(__xludf.DUMMYFUNCTION("""COMPUTED_VALUE"""),7.0)</f>
        <v>7</v>
      </c>
      <c r="H313" s="4">
        <f>IFERROR(__xludf.DUMMYFUNCTION("""COMPUTED_VALUE"""),1.0)</f>
        <v>1</v>
      </c>
      <c r="I313" s="2" t="str">
        <f>IFERROR(__xludf.DUMMYFUNCTION("""COMPUTED_VALUE"""),"random")</f>
        <v>random</v>
      </c>
      <c r="J313" s="2">
        <f t="shared" si="2"/>
        <v>10</v>
      </c>
      <c r="K313" s="2">
        <f t="shared" si="3"/>
        <v>2000</v>
      </c>
      <c r="L313" s="2" t="str">
        <f t="shared" si="4"/>
        <v>P</v>
      </c>
    </row>
    <row r="314">
      <c r="A314" s="2" t="str">
        <f>IFERROR(__xludf.DUMMYFUNCTION("""COMPUTED_VALUE"""),"examples/random/sparse_3000_1_8")</f>
        <v>examples/random/sparse_3000_1_8</v>
      </c>
      <c r="B314" s="4">
        <f>IFERROR(__xludf.DUMMYFUNCTION("""COMPUTED_VALUE"""),6000.0)</f>
        <v>6000</v>
      </c>
      <c r="C314" s="4">
        <f>IFERROR(__xludf.DUMMYFUNCTION("""COMPUTED_VALUE"""),60.0)</f>
        <v>60</v>
      </c>
      <c r="D314" s="4">
        <f>IFERROR(__xludf.DUMMYFUNCTION("""COMPUTED_VALUE"""),1531.0)</f>
        <v>1531</v>
      </c>
      <c r="E314" s="4">
        <f>IFERROR(__xludf.DUMMYFUNCTION("""COMPUTED_VALUE"""),6.0)</f>
        <v>6</v>
      </c>
      <c r="F314" s="4">
        <f>IFERROR(__xludf.DUMMYFUNCTION("""COMPUTED_VALUE"""),5.0)</f>
        <v>5</v>
      </c>
      <c r="G314" s="4">
        <f>IFERROR(__xludf.DUMMYFUNCTION("""COMPUTED_VALUE"""),29.0)</f>
        <v>29</v>
      </c>
      <c r="H314" s="4">
        <f>IFERROR(__xludf.DUMMYFUNCTION("""COMPUTED_VALUE"""),4.0)</f>
        <v>4</v>
      </c>
      <c r="I314" s="2" t="str">
        <f>IFERROR(__xludf.DUMMYFUNCTION("""COMPUTED_VALUE"""),"random")</f>
        <v>random</v>
      </c>
      <c r="J314" s="2">
        <f t="shared" si="2"/>
        <v>11</v>
      </c>
      <c r="K314" s="2">
        <f t="shared" si="3"/>
        <v>5000</v>
      </c>
      <c r="L314" s="2" t="str">
        <f t="shared" si="4"/>
        <v>P</v>
      </c>
    </row>
    <row r="315">
      <c r="A315" s="2" t="str">
        <f>IFERROR(__xludf.DUMMYFUNCTION("""COMPUTED_VALUE"""),"examples/random/dense_10000_1_7")</f>
        <v>examples/random/dense_10000_1_7</v>
      </c>
      <c r="B315" s="4">
        <f>IFERROR(__xludf.DUMMYFUNCTION("""COMPUTED_VALUE"""),1010329.0)</f>
        <v>1010329</v>
      </c>
      <c r="C315" s="4">
        <f>IFERROR(__xludf.DUMMYFUNCTION("""COMPUTED_VALUE"""),60.0)</f>
        <v>60</v>
      </c>
      <c r="D315" s="4">
        <f>IFERROR(__xludf.DUMMYFUNCTION("""COMPUTED_VALUE"""),60000.0)</f>
        <v>60000</v>
      </c>
      <c r="E315" s="4">
        <f>IFERROR(__xludf.DUMMYFUNCTION("""COMPUTED_VALUE"""),60000.0)</f>
        <v>60000</v>
      </c>
      <c r="F315" s="4">
        <f>IFERROR(__xludf.DUMMYFUNCTION("""COMPUTED_VALUE"""),60000.0)</f>
        <v>60000</v>
      </c>
      <c r="G315" s="4">
        <f>IFERROR(__xludf.DUMMYFUNCTION("""COMPUTED_VALUE"""),363.0)</f>
        <v>363</v>
      </c>
      <c r="H315" s="4">
        <f>IFERROR(__xludf.DUMMYFUNCTION("""COMPUTED_VALUE"""),224.0)</f>
        <v>224</v>
      </c>
      <c r="I315" s="2" t="str">
        <f>IFERROR(__xludf.DUMMYFUNCTION("""COMPUTED_VALUE"""),"random")</f>
        <v>random</v>
      </c>
      <c r="J315" s="2">
        <f t="shared" si="2"/>
        <v>18</v>
      </c>
      <c r="K315" s="2">
        <f t="shared" si="3"/>
        <v>1000000</v>
      </c>
      <c r="L315" s="2" t="str">
        <f t="shared" si="4"/>
        <v>P</v>
      </c>
    </row>
    <row r="316">
      <c r="A316" s="2" t="str">
        <f>IFERROR(__xludf.DUMMYFUNCTION("""COMPUTED_VALUE"""),"examples/random/dense_100_3_6")</f>
        <v>examples/random/dense_100_3_6</v>
      </c>
      <c r="B316" s="4">
        <f>IFERROR(__xludf.DUMMYFUNCTION("""COMPUTED_VALUE"""),400.0)</f>
        <v>400</v>
      </c>
      <c r="C316" s="4">
        <f>IFERROR(__xludf.DUMMYFUNCTION("""COMPUTED_VALUE"""),60.0)</f>
        <v>60</v>
      </c>
      <c r="D316" s="4">
        <f>IFERROR(__xludf.DUMMYFUNCTION("""COMPUTED_VALUE"""),13.0)</f>
        <v>13</v>
      </c>
      <c r="E316" s="4">
        <f>IFERROR(__xludf.DUMMYFUNCTION("""COMPUTED_VALUE"""),0.0)</f>
        <v>0</v>
      </c>
      <c r="F316" s="4">
        <f>IFERROR(__xludf.DUMMYFUNCTION("""COMPUTED_VALUE"""),0.0)</f>
        <v>0</v>
      </c>
      <c r="G316" s="4">
        <f>IFERROR(__xludf.DUMMYFUNCTION("""COMPUTED_VALUE"""),0.0)</f>
        <v>0</v>
      </c>
      <c r="H316" s="4">
        <f>IFERROR(__xludf.DUMMYFUNCTION("""COMPUTED_VALUE"""),0.0)</f>
        <v>0</v>
      </c>
      <c r="I316" s="2" t="str">
        <f>IFERROR(__xludf.DUMMYFUNCTION("""COMPUTED_VALUE"""),"random")</f>
        <v>random</v>
      </c>
      <c r="J316" s="2">
        <f t="shared" si="2"/>
        <v>8</v>
      </c>
      <c r="K316" s="2">
        <f t="shared" si="3"/>
        <v>500</v>
      </c>
      <c r="L316" s="2">
        <f t="shared" si="4"/>
        <v>0</v>
      </c>
    </row>
    <row r="317">
      <c r="A317" s="2" t="str">
        <f>IFERROR(__xludf.DUMMYFUNCTION("""COMPUTED_VALUE"""),"examples/random/dense_10000_3_9")</f>
        <v>examples/random/dense_10000_3_9</v>
      </c>
      <c r="B317" s="4">
        <f>IFERROR(__xludf.DUMMYFUNCTION("""COMPUTED_VALUE"""),3007724.0)</f>
        <v>3007724</v>
      </c>
      <c r="C317" s="4">
        <f>IFERROR(__xludf.DUMMYFUNCTION("""COMPUTED_VALUE"""),60.0)</f>
        <v>60</v>
      </c>
      <c r="D317" s="4">
        <f>IFERROR(__xludf.DUMMYFUNCTION("""COMPUTED_VALUE"""),60000.0)</f>
        <v>60000</v>
      </c>
      <c r="E317" s="4">
        <f>IFERROR(__xludf.DUMMYFUNCTION("""COMPUTED_VALUE"""),60000.0)</f>
        <v>60000</v>
      </c>
      <c r="F317" s="4">
        <f>IFERROR(__xludf.DUMMYFUNCTION("""COMPUTED_VALUE"""),60000.0)</f>
        <v>60000</v>
      </c>
      <c r="G317" s="4">
        <f>IFERROR(__xludf.DUMMYFUNCTION("""COMPUTED_VALUE"""),906.0)</f>
        <v>906</v>
      </c>
      <c r="H317" s="4">
        <f>IFERROR(__xludf.DUMMYFUNCTION("""COMPUTED_VALUE"""),667.0)</f>
        <v>667</v>
      </c>
      <c r="I317" s="2" t="str">
        <f>IFERROR(__xludf.DUMMYFUNCTION("""COMPUTED_VALUE"""),"random")</f>
        <v>random</v>
      </c>
      <c r="J317" s="2">
        <f t="shared" si="2"/>
        <v>19</v>
      </c>
      <c r="K317" s="2">
        <f t="shared" si="3"/>
        <v>2000000</v>
      </c>
      <c r="L317" s="2" t="str">
        <f t="shared" si="4"/>
        <v>P</v>
      </c>
    </row>
    <row r="318">
      <c r="A318" s="2" t="str">
        <f>IFERROR(__xludf.DUMMYFUNCTION("""COMPUTED_VALUE"""),"examples/random/sparse_100000_10_1")</f>
        <v>examples/random/sparse_100000_10_1</v>
      </c>
      <c r="B318" s="4">
        <f>IFERROR(__xludf.DUMMYFUNCTION("""COMPUTED_VALUE"""),1100000.0)</f>
        <v>1100000</v>
      </c>
      <c r="C318" s="4">
        <f>IFERROR(__xludf.DUMMYFUNCTION("""COMPUTED_VALUE"""),60.0)</f>
        <v>60</v>
      </c>
      <c r="D318" s="4">
        <f>IFERROR(__xludf.DUMMYFUNCTION("""COMPUTED_VALUE"""),60000.0)</f>
        <v>60000</v>
      </c>
      <c r="E318" s="4">
        <f>IFERROR(__xludf.DUMMYFUNCTION("""COMPUTED_VALUE"""),60000.0)</f>
        <v>60000</v>
      </c>
      <c r="F318" s="4">
        <f>IFERROR(__xludf.DUMMYFUNCTION("""COMPUTED_VALUE"""),60000.0)</f>
        <v>60000</v>
      </c>
      <c r="G318" s="4">
        <f>IFERROR(__xludf.DUMMYFUNCTION("""COMPUTED_VALUE"""),1560.0)</f>
        <v>1560</v>
      </c>
      <c r="H318" s="4">
        <f>IFERROR(__xludf.DUMMYFUNCTION("""COMPUTED_VALUE"""),478.0)</f>
        <v>478</v>
      </c>
      <c r="I318" s="2" t="str">
        <f>IFERROR(__xludf.DUMMYFUNCTION("""COMPUTED_VALUE"""),"random")</f>
        <v>random</v>
      </c>
      <c r="J318" s="2">
        <f t="shared" si="2"/>
        <v>18</v>
      </c>
      <c r="K318" s="2">
        <f t="shared" si="3"/>
        <v>1000000</v>
      </c>
      <c r="L318" s="2" t="str">
        <f t="shared" si="4"/>
        <v>P</v>
      </c>
    </row>
    <row r="319">
      <c r="A319" s="2" t="str">
        <f>IFERROR(__xludf.DUMMYFUNCTION("""COMPUTED_VALUE"""),"examples/random/dense_1000_1_3")</f>
        <v>examples/random/dense_1000_1_3</v>
      </c>
      <c r="B319" s="4">
        <f>IFERROR(__xludf.DUMMYFUNCTION("""COMPUTED_VALUE"""),11042.0)</f>
        <v>11042</v>
      </c>
      <c r="C319" s="4">
        <f>IFERROR(__xludf.DUMMYFUNCTION("""COMPUTED_VALUE"""),60.0)</f>
        <v>60</v>
      </c>
      <c r="D319" s="4">
        <f>IFERROR(__xludf.DUMMYFUNCTION("""COMPUTED_VALUE"""),50599.0)</f>
        <v>50599</v>
      </c>
      <c r="E319" s="4">
        <f>IFERROR(__xludf.DUMMYFUNCTION("""COMPUTED_VALUE"""),145.0)</f>
        <v>145</v>
      </c>
      <c r="F319" s="4">
        <f>IFERROR(__xludf.DUMMYFUNCTION("""COMPUTED_VALUE"""),201.0)</f>
        <v>201</v>
      </c>
      <c r="G319" s="4">
        <f>IFERROR(__xludf.DUMMYFUNCTION("""COMPUTED_VALUE"""),8.0)</f>
        <v>8</v>
      </c>
      <c r="H319" s="4">
        <f>IFERROR(__xludf.DUMMYFUNCTION("""COMPUTED_VALUE"""),2.0)</f>
        <v>2</v>
      </c>
      <c r="I319" s="2" t="str">
        <f>IFERROR(__xludf.DUMMYFUNCTION("""COMPUTED_VALUE"""),"random")</f>
        <v>random</v>
      </c>
      <c r="J319" s="2">
        <f t="shared" si="2"/>
        <v>12</v>
      </c>
      <c r="K319" s="2">
        <f t="shared" si="3"/>
        <v>10000</v>
      </c>
      <c r="L319" s="2" t="str">
        <f t="shared" si="4"/>
        <v>P</v>
      </c>
    </row>
    <row r="320">
      <c r="A320" s="2" t="str">
        <f>IFERROR(__xludf.DUMMYFUNCTION("""COMPUTED_VALUE"""),"examples/random/sparse_300_10_4")</f>
        <v>examples/random/sparse_300_10_4</v>
      </c>
      <c r="B320" s="4">
        <f>IFERROR(__xludf.DUMMYFUNCTION("""COMPUTED_VALUE"""),3300.0)</f>
        <v>3300</v>
      </c>
      <c r="C320" s="4">
        <f>IFERROR(__xludf.DUMMYFUNCTION("""COMPUTED_VALUE"""),60.0)</f>
        <v>60</v>
      </c>
      <c r="D320" s="4">
        <f>IFERROR(__xludf.DUMMYFUNCTION("""COMPUTED_VALUE"""),1316.0)</f>
        <v>1316</v>
      </c>
      <c r="E320" s="4">
        <f>IFERROR(__xludf.DUMMYFUNCTION("""COMPUTED_VALUE"""),13.0)</f>
        <v>13</v>
      </c>
      <c r="F320" s="4">
        <f>IFERROR(__xludf.DUMMYFUNCTION("""COMPUTED_VALUE"""),17.0)</f>
        <v>17</v>
      </c>
      <c r="G320" s="4">
        <f>IFERROR(__xludf.DUMMYFUNCTION("""COMPUTED_VALUE"""),2.0)</f>
        <v>2</v>
      </c>
      <c r="H320" s="4">
        <f>IFERROR(__xludf.DUMMYFUNCTION("""COMPUTED_VALUE"""),1.0)</f>
        <v>1</v>
      </c>
      <c r="I320" s="2" t="str">
        <f>IFERROR(__xludf.DUMMYFUNCTION("""COMPUTED_VALUE"""),"random")</f>
        <v>random</v>
      </c>
      <c r="J320" s="2">
        <f t="shared" si="2"/>
        <v>11</v>
      </c>
      <c r="K320" s="2">
        <f t="shared" si="3"/>
        <v>5000</v>
      </c>
      <c r="L320" s="2" t="str">
        <f t="shared" si="4"/>
        <v>P</v>
      </c>
    </row>
    <row r="321">
      <c r="A321" s="2" t="str">
        <f>IFERROR(__xludf.DUMMYFUNCTION("""COMPUTED_VALUE"""),"examples/random/sparse_300_3_3")</f>
        <v>examples/random/sparse_300_3_3</v>
      </c>
      <c r="B321" s="4">
        <f>IFERROR(__xludf.DUMMYFUNCTION("""COMPUTED_VALUE"""),1200.0)</f>
        <v>1200</v>
      </c>
      <c r="C321" s="4">
        <f>IFERROR(__xludf.DUMMYFUNCTION("""COMPUTED_VALUE"""),60.0)</f>
        <v>60</v>
      </c>
      <c r="D321" s="4">
        <f>IFERROR(__xludf.DUMMYFUNCTION("""COMPUTED_VALUE"""),353.0)</f>
        <v>353</v>
      </c>
      <c r="E321" s="4">
        <f>IFERROR(__xludf.DUMMYFUNCTION("""COMPUTED_VALUE"""),3.0)</f>
        <v>3</v>
      </c>
      <c r="F321" s="4">
        <f>IFERROR(__xludf.DUMMYFUNCTION("""COMPUTED_VALUE"""),5.0)</f>
        <v>5</v>
      </c>
      <c r="G321" s="4">
        <f>IFERROR(__xludf.DUMMYFUNCTION("""COMPUTED_VALUE"""),2.0)</f>
        <v>2</v>
      </c>
      <c r="H321" s="4">
        <f>IFERROR(__xludf.DUMMYFUNCTION("""COMPUTED_VALUE"""),0.0)</f>
        <v>0</v>
      </c>
      <c r="I321" s="2" t="str">
        <f>IFERROR(__xludf.DUMMYFUNCTION("""COMPUTED_VALUE"""),"random")</f>
        <v>random</v>
      </c>
      <c r="J321" s="2">
        <f t="shared" si="2"/>
        <v>9</v>
      </c>
      <c r="K321" s="2">
        <f t="shared" si="3"/>
        <v>1000</v>
      </c>
      <c r="L321" s="2" t="str">
        <f t="shared" si="4"/>
        <v>P</v>
      </c>
    </row>
    <row r="322">
      <c r="A322" s="2" t="str">
        <f>IFERROR(__xludf.DUMMYFUNCTION("""COMPUTED_VALUE"""),"examples/random/dense_1000_2_7")</f>
        <v>examples/random/dense_1000_2_7</v>
      </c>
      <c r="B322" s="4">
        <f>IFERROR(__xludf.DUMMYFUNCTION("""COMPUTED_VALUE"""),21109.0)</f>
        <v>21109</v>
      </c>
      <c r="C322" s="4">
        <f>IFERROR(__xludf.DUMMYFUNCTION("""COMPUTED_VALUE"""),60.0)</f>
        <v>60</v>
      </c>
      <c r="D322" s="4">
        <f>IFERROR(__xludf.DUMMYFUNCTION("""COMPUTED_VALUE"""),60000.0)</f>
        <v>60000</v>
      </c>
      <c r="E322" s="4">
        <f>IFERROR(__xludf.DUMMYFUNCTION("""COMPUTED_VALUE"""),294.0)</f>
        <v>294</v>
      </c>
      <c r="F322" s="4">
        <f>IFERROR(__xludf.DUMMYFUNCTION("""COMPUTED_VALUE"""),410.0)</f>
        <v>410</v>
      </c>
      <c r="G322" s="4">
        <f>IFERROR(__xludf.DUMMYFUNCTION("""COMPUTED_VALUE"""),11.0)</f>
        <v>11</v>
      </c>
      <c r="H322" s="4">
        <f>IFERROR(__xludf.DUMMYFUNCTION("""COMPUTED_VALUE"""),4.0)</f>
        <v>4</v>
      </c>
      <c r="I322" s="2" t="str">
        <f>IFERROR(__xludf.DUMMYFUNCTION("""COMPUTED_VALUE"""),"random")</f>
        <v>random</v>
      </c>
      <c r="J322" s="2">
        <f t="shared" si="2"/>
        <v>13</v>
      </c>
      <c r="K322" s="2">
        <f t="shared" si="3"/>
        <v>20000</v>
      </c>
      <c r="L322" s="2" t="str">
        <f t="shared" si="4"/>
        <v>P</v>
      </c>
    </row>
    <row r="323">
      <c r="A323" s="2" t="str">
        <f>IFERROR(__xludf.DUMMYFUNCTION("""COMPUTED_VALUE"""),"examples/random/sparse_300_2_9")</f>
        <v>examples/random/sparse_300_2_9</v>
      </c>
      <c r="B323" s="4">
        <f>IFERROR(__xludf.DUMMYFUNCTION("""COMPUTED_VALUE"""),900.0)</f>
        <v>900</v>
      </c>
      <c r="C323" s="4">
        <f>IFERROR(__xludf.DUMMYFUNCTION("""COMPUTED_VALUE"""),60.0)</f>
        <v>60</v>
      </c>
      <c r="D323" s="4">
        <f>IFERROR(__xludf.DUMMYFUNCTION("""COMPUTED_VALUE"""),135.0)</f>
        <v>135</v>
      </c>
      <c r="E323" s="4">
        <f>IFERROR(__xludf.DUMMYFUNCTION("""COMPUTED_VALUE"""),1.0)</f>
        <v>1</v>
      </c>
      <c r="F323" s="4">
        <f>IFERROR(__xludf.DUMMYFUNCTION("""COMPUTED_VALUE"""),2.0)</f>
        <v>2</v>
      </c>
      <c r="G323" s="4">
        <f>IFERROR(__xludf.DUMMYFUNCTION("""COMPUTED_VALUE"""),3.0)</f>
        <v>3</v>
      </c>
      <c r="H323" s="4">
        <f>IFERROR(__xludf.DUMMYFUNCTION("""COMPUTED_VALUE"""),0.0)</f>
        <v>0</v>
      </c>
      <c r="I323" s="2" t="str">
        <f>IFERROR(__xludf.DUMMYFUNCTION("""COMPUTED_VALUE"""),"random")</f>
        <v>random</v>
      </c>
      <c r="J323" s="2">
        <f t="shared" si="2"/>
        <v>9</v>
      </c>
      <c r="K323" s="2">
        <f t="shared" si="3"/>
        <v>1000</v>
      </c>
      <c r="L323" s="2" t="str">
        <f t="shared" si="4"/>
        <v>P</v>
      </c>
    </row>
    <row r="324">
      <c r="A324" s="2" t="str">
        <f>IFERROR(__xludf.DUMMYFUNCTION("""COMPUTED_VALUE"""),"examples/random/dense_3000_1_8")</f>
        <v>examples/random/dense_3000_1_8</v>
      </c>
      <c r="B324" s="4">
        <f>IFERROR(__xludf.DUMMYFUNCTION("""COMPUTED_VALUE"""),93124.0)</f>
        <v>93124</v>
      </c>
      <c r="C324" s="4">
        <f>IFERROR(__xludf.DUMMYFUNCTION("""COMPUTED_VALUE"""),60.0)</f>
        <v>60</v>
      </c>
      <c r="D324" s="4">
        <f>IFERROR(__xludf.DUMMYFUNCTION("""COMPUTED_VALUE"""),60000.0)</f>
        <v>60000</v>
      </c>
      <c r="E324" s="4">
        <f>IFERROR(__xludf.DUMMYFUNCTION("""COMPUTED_VALUE"""),4195.0)</f>
        <v>4195</v>
      </c>
      <c r="F324" s="4">
        <f>IFERROR(__xludf.DUMMYFUNCTION("""COMPUTED_VALUE"""),6876.0)</f>
        <v>6876</v>
      </c>
      <c r="G324" s="4">
        <f>IFERROR(__xludf.DUMMYFUNCTION("""COMPUTED_VALUE"""),43.0)</f>
        <v>43</v>
      </c>
      <c r="H324" s="4">
        <f>IFERROR(__xludf.DUMMYFUNCTION("""COMPUTED_VALUE"""),20.0)</f>
        <v>20</v>
      </c>
      <c r="I324" s="2" t="str">
        <f>IFERROR(__xludf.DUMMYFUNCTION("""COMPUTED_VALUE"""),"random")</f>
        <v>random</v>
      </c>
      <c r="J324" s="2">
        <f t="shared" si="2"/>
        <v>15</v>
      </c>
      <c r="K324" s="2">
        <f t="shared" si="3"/>
        <v>100000</v>
      </c>
      <c r="L324" s="2" t="str">
        <f t="shared" si="4"/>
        <v>P</v>
      </c>
    </row>
    <row r="325">
      <c r="A325" s="2" t="str">
        <f>IFERROR(__xludf.DUMMYFUNCTION("""COMPUTED_VALUE"""),"examples/random/dense_3000_3_6")</f>
        <v>examples/random/dense_3000_3_6</v>
      </c>
      <c r="B325" s="4">
        <f>IFERROR(__xludf.DUMMYFUNCTION("""COMPUTED_VALUE"""),273197.0)</f>
        <v>273197</v>
      </c>
      <c r="C325" s="4">
        <f>IFERROR(__xludf.DUMMYFUNCTION("""COMPUTED_VALUE"""),60.0)</f>
        <v>60</v>
      </c>
      <c r="D325" s="4">
        <f>IFERROR(__xludf.DUMMYFUNCTION("""COMPUTED_VALUE"""),60000.0)</f>
        <v>60000</v>
      </c>
      <c r="E325" s="4">
        <f>IFERROR(__xludf.DUMMYFUNCTION("""COMPUTED_VALUE"""),12805.0)</f>
        <v>12805</v>
      </c>
      <c r="F325" s="4">
        <f>IFERROR(__xludf.DUMMYFUNCTION("""COMPUTED_VALUE"""),36307.0)</f>
        <v>36307</v>
      </c>
      <c r="G325" s="4">
        <f>IFERROR(__xludf.DUMMYFUNCTION("""COMPUTED_VALUE"""),96.0)</f>
        <v>96</v>
      </c>
      <c r="H325" s="4">
        <f>IFERROR(__xludf.DUMMYFUNCTION("""COMPUTED_VALUE"""),59.0)</f>
        <v>59</v>
      </c>
      <c r="I325" s="2" t="str">
        <f>IFERROR(__xludf.DUMMYFUNCTION("""COMPUTED_VALUE"""),"random")</f>
        <v>random</v>
      </c>
      <c r="J325" s="2">
        <f t="shared" si="2"/>
        <v>16</v>
      </c>
      <c r="K325" s="2">
        <f t="shared" si="3"/>
        <v>200000</v>
      </c>
      <c r="L325" s="2" t="str">
        <f t="shared" si="4"/>
        <v>P</v>
      </c>
    </row>
    <row r="326">
      <c r="A326" s="2" t="str">
        <f>IFERROR(__xludf.DUMMYFUNCTION("""COMPUTED_VALUE"""),"examples/random/sparse_10000_3_4")</f>
        <v>examples/random/sparse_10000_3_4</v>
      </c>
      <c r="B326" s="4">
        <f>IFERROR(__xludf.DUMMYFUNCTION("""COMPUTED_VALUE"""),40000.0)</f>
        <v>40000</v>
      </c>
      <c r="C326" s="4">
        <f>IFERROR(__xludf.DUMMYFUNCTION("""COMPUTED_VALUE"""),60.0)</f>
        <v>60</v>
      </c>
      <c r="D326" s="4">
        <f>IFERROR(__xludf.DUMMYFUNCTION("""COMPUTED_VALUE"""),60000.0)</f>
        <v>60000</v>
      </c>
      <c r="E326" s="4">
        <f>IFERROR(__xludf.DUMMYFUNCTION("""COMPUTED_VALUE"""),3217.0)</f>
        <v>3217</v>
      </c>
      <c r="F326" s="4">
        <f>IFERROR(__xludf.DUMMYFUNCTION("""COMPUTED_VALUE"""),5653.0)</f>
        <v>5653</v>
      </c>
      <c r="G326" s="4">
        <f>IFERROR(__xludf.DUMMYFUNCTION("""COMPUTED_VALUE"""),88.0)</f>
        <v>88</v>
      </c>
      <c r="H326" s="4">
        <f>IFERROR(__xludf.DUMMYFUNCTION("""COMPUTED_VALUE"""),20.0)</f>
        <v>20</v>
      </c>
      <c r="I326" s="2" t="str">
        <f>IFERROR(__xludf.DUMMYFUNCTION("""COMPUTED_VALUE"""),"random")</f>
        <v>random</v>
      </c>
      <c r="J326" s="2">
        <f t="shared" si="2"/>
        <v>14</v>
      </c>
      <c r="K326" s="2">
        <f t="shared" si="3"/>
        <v>50000</v>
      </c>
      <c r="L326" s="2" t="str">
        <f t="shared" si="4"/>
        <v>P</v>
      </c>
    </row>
    <row r="327">
      <c r="A327" s="2" t="str">
        <f>IFERROR(__xludf.DUMMYFUNCTION("""COMPUTED_VALUE"""),"examples/random/sparse_3000_10_3")</f>
        <v>examples/random/sparse_3000_10_3</v>
      </c>
      <c r="B327" s="4">
        <f>IFERROR(__xludf.DUMMYFUNCTION("""COMPUTED_VALUE"""),33000.0)</f>
        <v>33000</v>
      </c>
      <c r="C327" s="4">
        <f>IFERROR(__xludf.DUMMYFUNCTION("""COMPUTED_VALUE"""),60.0)</f>
        <v>60</v>
      </c>
      <c r="D327" s="4">
        <f>IFERROR(__xludf.DUMMYFUNCTION("""COMPUTED_VALUE"""),60000.0)</f>
        <v>60000</v>
      </c>
      <c r="E327" s="4">
        <f>IFERROR(__xludf.DUMMYFUNCTION("""COMPUTED_VALUE"""),1368.0)</f>
        <v>1368</v>
      </c>
      <c r="F327" s="4">
        <f>IFERROR(__xludf.DUMMYFUNCTION("""COMPUTED_VALUE"""),1962.0)</f>
        <v>1962</v>
      </c>
      <c r="G327" s="4">
        <f>IFERROR(__xludf.DUMMYFUNCTION("""COMPUTED_VALUE"""),31.0)</f>
        <v>31</v>
      </c>
      <c r="H327" s="4">
        <f>IFERROR(__xludf.DUMMYFUNCTION("""COMPUTED_VALUE"""),11.0)</f>
        <v>11</v>
      </c>
      <c r="I327" s="2" t="str">
        <f>IFERROR(__xludf.DUMMYFUNCTION("""COMPUTED_VALUE"""),"random")</f>
        <v>random</v>
      </c>
      <c r="J327" s="2">
        <f t="shared" si="2"/>
        <v>14</v>
      </c>
      <c r="K327" s="2">
        <f t="shared" si="3"/>
        <v>50000</v>
      </c>
      <c r="L327" s="2" t="str">
        <f t="shared" si="4"/>
        <v>P</v>
      </c>
    </row>
    <row r="328">
      <c r="A328" s="2" t="str">
        <f>IFERROR(__xludf.DUMMYFUNCTION("""COMPUTED_VALUE"""),"examples/random/sparse_100000_1_6")</f>
        <v>examples/random/sparse_100000_1_6</v>
      </c>
      <c r="B328" s="4">
        <f>IFERROR(__xludf.DUMMYFUNCTION("""COMPUTED_VALUE"""),200000.0)</f>
        <v>200000</v>
      </c>
      <c r="C328" s="4">
        <f>IFERROR(__xludf.DUMMYFUNCTION("""COMPUTED_VALUE"""),60.0)</f>
        <v>60</v>
      </c>
      <c r="D328" s="4">
        <f>IFERROR(__xludf.DUMMYFUNCTION("""COMPUTED_VALUE"""),60000.0)</f>
        <v>60000</v>
      </c>
      <c r="E328" s="4">
        <f>IFERROR(__xludf.DUMMYFUNCTION("""COMPUTED_VALUE"""),306.0)</f>
        <v>306</v>
      </c>
      <c r="F328" s="4">
        <f>IFERROR(__xludf.DUMMYFUNCTION("""COMPUTED_VALUE"""),291.0)</f>
        <v>291</v>
      </c>
      <c r="G328" s="4">
        <f>IFERROR(__xludf.DUMMYFUNCTION("""COMPUTED_VALUE"""),1547.0)</f>
        <v>1547</v>
      </c>
      <c r="H328" s="4">
        <f>IFERROR(__xludf.DUMMYFUNCTION("""COMPUTED_VALUE"""),201.0)</f>
        <v>201</v>
      </c>
      <c r="I328" s="2" t="str">
        <f>IFERROR(__xludf.DUMMYFUNCTION("""COMPUTED_VALUE"""),"random")</f>
        <v>random</v>
      </c>
      <c r="J328" s="2">
        <f t="shared" si="2"/>
        <v>16</v>
      </c>
      <c r="K328" s="2">
        <f t="shared" si="3"/>
        <v>200000</v>
      </c>
      <c r="L328" s="2" t="str">
        <f t="shared" si="4"/>
        <v>P</v>
      </c>
    </row>
    <row r="329">
      <c r="A329" s="2" t="str">
        <f>IFERROR(__xludf.DUMMYFUNCTION("""COMPUTED_VALUE"""),"examples/random/sparse_100000_3_8")</f>
        <v>examples/random/sparse_100000_3_8</v>
      </c>
      <c r="B329" s="4">
        <f>IFERROR(__xludf.DUMMYFUNCTION("""COMPUTED_VALUE"""),400000.0)</f>
        <v>400000</v>
      </c>
      <c r="C329" s="4">
        <f>IFERROR(__xludf.DUMMYFUNCTION("""COMPUTED_VALUE"""),60.0)</f>
        <v>60</v>
      </c>
      <c r="D329" s="4">
        <f>IFERROR(__xludf.DUMMYFUNCTION("""COMPUTED_VALUE"""),60000.0)</f>
        <v>60000</v>
      </c>
      <c r="E329" s="4">
        <f>IFERROR(__xludf.DUMMYFUNCTION("""COMPUTED_VALUE"""),60000.0)</f>
        <v>60000</v>
      </c>
      <c r="F329" s="4">
        <f>IFERROR(__xludf.DUMMYFUNCTION("""COMPUTED_VALUE"""),60000.0)</f>
        <v>60000</v>
      </c>
      <c r="G329" s="4">
        <f>IFERROR(__xludf.DUMMYFUNCTION("""COMPUTED_VALUE"""),1178.0)</f>
        <v>1178</v>
      </c>
      <c r="H329" s="4">
        <f>IFERROR(__xludf.DUMMYFUNCTION("""COMPUTED_VALUE"""),243.0)</f>
        <v>243</v>
      </c>
      <c r="I329" s="2" t="str">
        <f>IFERROR(__xludf.DUMMYFUNCTION("""COMPUTED_VALUE"""),"random")</f>
        <v>random</v>
      </c>
      <c r="J329" s="2">
        <f t="shared" si="2"/>
        <v>17</v>
      </c>
      <c r="K329" s="2">
        <f t="shared" si="3"/>
        <v>500000</v>
      </c>
      <c r="L329" s="2" t="str">
        <f t="shared" si="4"/>
        <v>P</v>
      </c>
    </row>
    <row r="330">
      <c r="A330" s="2" t="str">
        <f>IFERROR(__xludf.DUMMYFUNCTION("""COMPUTED_VALUE"""),"examples/random/sparse_1000_1_2")</f>
        <v>examples/random/sparse_1000_1_2</v>
      </c>
      <c r="B330" s="4">
        <f>IFERROR(__xludf.DUMMYFUNCTION("""COMPUTED_VALUE"""),2000.0)</f>
        <v>2000</v>
      </c>
      <c r="C330" s="4">
        <f>IFERROR(__xludf.DUMMYFUNCTION("""COMPUTED_VALUE"""),60.0)</f>
        <v>60</v>
      </c>
      <c r="D330" s="4">
        <f>IFERROR(__xludf.DUMMYFUNCTION("""COMPUTED_VALUE"""),165.0)</f>
        <v>165</v>
      </c>
      <c r="E330" s="4">
        <f>IFERROR(__xludf.DUMMYFUNCTION("""COMPUTED_VALUE"""),1.0)</f>
        <v>1</v>
      </c>
      <c r="F330" s="4">
        <f>IFERROR(__xludf.DUMMYFUNCTION("""COMPUTED_VALUE"""),1.0)</f>
        <v>1</v>
      </c>
      <c r="G330" s="4">
        <f>IFERROR(__xludf.DUMMYFUNCTION("""COMPUTED_VALUE"""),9.0)</f>
        <v>9</v>
      </c>
      <c r="H330" s="4">
        <f>IFERROR(__xludf.DUMMYFUNCTION("""COMPUTED_VALUE"""),1.0)</f>
        <v>1</v>
      </c>
      <c r="I330" s="2" t="str">
        <f>IFERROR(__xludf.DUMMYFUNCTION("""COMPUTED_VALUE"""),"random")</f>
        <v>random</v>
      </c>
      <c r="J330" s="2">
        <f t="shared" si="2"/>
        <v>10</v>
      </c>
      <c r="K330" s="2">
        <f t="shared" si="3"/>
        <v>2000</v>
      </c>
      <c r="L330" s="2" t="str">
        <f t="shared" si="4"/>
        <v>BP</v>
      </c>
    </row>
    <row r="331">
      <c r="A331" s="2" t="str">
        <f>IFERROR(__xludf.DUMMYFUNCTION("""COMPUTED_VALUE"""),"examples/random/sparse_1000_10_7")</f>
        <v>examples/random/sparse_1000_10_7</v>
      </c>
      <c r="B331" s="4">
        <f>IFERROR(__xludf.DUMMYFUNCTION("""COMPUTED_VALUE"""),11000.0)</f>
        <v>11000</v>
      </c>
      <c r="C331" s="4">
        <f>IFERROR(__xludf.DUMMYFUNCTION("""COMPUTED_VALUE"""),60.0)</f>
        <v>60</v>
      </c>
      <c r="D331" s="4">
        <f>IFERROR(__xludf.DUMMYFUNCTION("""COMPUTED_VALUE"""),51349.0)</f>
        <v>51349</v>
      </c>
      <c r="E331" s="4">
        <f>IFERROR(__xludf.DUMMYFUNCTION("""COMPUTED_VALUE"""),147.0)</f>
        <v>147</v>
      </c>
      <c r="F331" s="4">
        <f>IFERROR(__xludf.DUMMYFUNCTION("""COMPUTED_VALUE"""),207.0)</f>
        <v>207</v>
      </c>
      <c r="G331" s="4">
        <f>IFERROR(__xludf.DUMMYFUNCTION("""COMPUTED_VALUE"""),11.0)</f>
        <v>11</v>
      </c>
      <c r="H331" s="4">
        <f>IFERROR(__xludf.DUMMYFUNCTION("""COMPUTED_VALUE"""),3.0)</f>
        <v>3</v>
      </c>
      <c r="I331" s="2" t="str">
        <f>IFERROR(__xludf.DUMMYFUNCTION("""COMPUTED_VALUE"""),"random")</f>
        <v>random</v>
      </c>
      <c r="J331" s="2">
        <f t="shared" si="2"/>
        <v>12</v>
      </c>
      <c r="K331" s="2">
        <f t="shared" si="3"/>
        <v>10000</v>
      </c>
      <c r="L331" s="2" t="str">
        <f t="shared" si="4"/>
        <v>P</v>
      </c>
    </row>
    <row r="332">
      <c r="A332" s="2" t="str">
        <f>IFERROR(__xludf.DUMMYFUNCTION("""COMPUTED_VALUE"""),"examples/random/dense_10000_2_2")</f>
        <v>examples/random/dense_10000_2_2</v>
      </c>
      <c r="B332" s="4">
        <f>IFERROR(__xludf.DUMMYFUNCTION("""COMPUTED_VALUE"""),2012311.0)</f>
        <v>2012311</v>
      </c>
      <c r="C332" s="4">
        <f>IFERROR(__xludf.DUMMYFUNCTION("""COMPUTED_VALUE"""),60.0)</f>
        <v>60</v>
      </c>
      <c r="D332" s="4">
        <f>IFERROR(__xludf.DUMMYFUNCTION("""COMPUTED_VALUE"""),60000.0)</f>
        <v>60000</v>
      </c>
      <c r="E332" s="4">
        <f>IFERROR(__xludf.DUMMYFUNCTION("""COMPUTED_VALUE"""),60000.0)</f>
        <v>60000</v>
      </c>
      <c r="F332" s="4">
        <f>IFERROR(__xludf.DUMMYFUNCTION("""COMPUTED_VALUE"""),60000.0)</f>
        <v>60000</v>
      </c>
      <c r="G332" s="4">
        <f>IFERROR(__xludf.DUMMYFUNCTION("""COMPUTED_VALUE"""),637.0)</f>
        <v>637</v>
      </c>
      <c r="H332" s="4">
        <f>IFERROR(__xludf.DUMMYFUNCTION("""COMPUTED_VALUE"""),446.0)</f>
        <v>446</v>
      </c>
      <c r="I332" s="2" t="str">
        <f>IFERROR(__xludf.DUMMYFUNCTION("""COMPUTED_VALUE"""),"random")</f>
        <v>random</v>
      </c>
      <c r="J332" s="2">
        <f t="shared" si="2"/>
        <v>19</v>
      </c>
      <c r="K332" s="2">
        <f t="shared" si="3"/>
        <v>2000000</v>
      </c>
      <c r="L332" s="2" t="str">
        <f t="shared" si="4"/>
        <v>P</v>
      </c>
    </row>
    <row r="333">
      <c r="A333" s="2" t="str">
        <f>IFERROR(__xludf.DUMMYFUNCTION("""COMPUTED_VALUE"""),"examples/random/dense_10000_1_6")</f>
        <v>examples/random/dense_10000_1_6</v>
      </c>
      <c r="B333" s="4">
        <f>IFERROR(__xludf.DUMMYFUNCTION("""COMPUTED_VALUE"""),1010749.0)</f>
        <v>1010749</v>
      </c>
      <c r="C333" s="4">
        <f>IFERROR(__xludf.DUMMYFUNCTION("""COMPUTED_VALUE"""),60.0)</f>
        <v>60</v>
      </c>
      <c r="D333" s="4">
        <f>IFERROR(__xludf.DUMMYFUNCTION("""COMPUTED_VALUE"""),60000.0)</f>
        <v>60000</v>
      </c>
      <c r="E333" s="4">
        <f>IFERROR(__xludf.DUMMYFUNCTION("""COMPUTED_VALUE"""),60000.0)</f>
        <v>60000</v>
      </c>
      <c r="F333" s="4">
        <f>IFERROR(__xludf.DUMMYFUNCTION("""COMPUTED_VALUE"""),60000.0)</f>
        <v>60000</v>
      </c>
      <c r="G333" s="4">
        <f>IFERROR(__xludf.DUMMYFUNCTION("""COMPUTED_VALUE"""),358.0)</f>
        <v>358</v>
      </c>
      <c r="H333" s="4">
        <f>IFERROR(__xludf.DUMMYFUNCTION("""COMPUTED_VALUE"""),220.0)</f>
        <v>220</v>
      </c>
      <c r="I333" s="2" t="str">
        <f>IFERROR(__xludf.DUMMYFUNCTION("""COMPUTED_VALUE"""),"random")</f>
        <v>random</v>
      </c>
      <c r="J333" s="2">
        <f t="shared" si="2"/>
        <v>18</v>
      </c>
      <c r="K333" s="2">
        <f t="shared" si="3"/>
        <v>1000000</v>
      </c>
      <c r="L333" s="2" t="str">
        <f t="shared" si="4"/>
        <v>P</v>
      </c>
    </row>
    <row r="334">
      <c r="A334" s="2" t="str">
        <f>IFERROR(__xludf.DUMMYFUNCTION("""COMPUTED_VALUE"""),"examples/random/dense_10000_3_8")</f>
        <v>examples/random/dense_10000_3_8</v>
      </c>
      <c r="B334" s="4">
        <f>IFERROR(__xludf.DUMMYFUNCTION("""COMPUTED_VALUE"""),3013938.0)</f>
        <v>3013938</v>
      </c>
      <c r="C334" s="4">
        <f>IFERROR(__xludf.DUMMYFUNCTION("""COMPUTED_VALUE"""),60.0)</f>
        <v>60</v>
      </c>
      <c r="D334" s="4">
        <f>IFERROR(__xludf.DUMMYFUNCTION("""COMPUTED_VALUE"""),60000.0)</f>
        <v>60000</v>
      </c>
      <c r="E334" s="4">
        <f>IFERROR(__xludf.DUMMYFUNCTION("""COMPUTED_VALUE"""),60000.0)</f>
        <v>60000</v>
      </c>
      <c r="F334" s="4">
        <f>IFERROR(__xludf.DUMMYFUNCTION("""COMPUTED_VALUE"""),60000.0)</f>
        <v>60000</v>
      </c>
      <c r="G334" s="4">
        <f>IFERROR(__xludf.DUMMYFUNCTION("""COMPUTED_VALUE"""),906.0)</f>
        <v>906</v>
      </c>
      <c r="H334" s="4">
        <f>IFERROR(__xludf.DUMMYFUNCTION("""COMPUTED_VALUE"""),670.0)</f>
        <v>670</v>
      </c>
      <c r="I334" s="2" t="str">
        <f>IFERROR(__xludf.DUMMYFUNCTION("""COMPUTED_VALUE"""),"random")</f>
        <v>random</v>
      </c>
      <c r="J334" s="2">
        <f t="shared" si="2"/>
        <v>19</v>
      </c>
      <c r="K334" s="2">
        <f t="shared" si="3"/>
        <v>2000000</v>
      </c>
      <c r="L334" s="2" t="str">
        <f t="shared" si="4"/>
        <v>P</v>
      </c>
    </row>
    <row r="335">
      <c r="A335" s="2" t="str">
        <f>IFERROR(__xludf.DUMMYFUNCTION("""COMPUTED_VALUE"""),"examples/random/dense_100_3_7")</f>
        <v>examples/random/dense_100_3_7</v>
      </c>
      <c r="B335" s="4">
        <f>IFERROR(__xludf.DUMMYFUNCTION("""COMPUTED_VALUE"""),415.0)</f>
        <v>415</v>
      </c>
      <c r="C335" s="4">
        <f>IFERROR(__xludf.DUMMYFUNCTION("""COMPUTED_VALUE"""),60.0)</f>
        <v>60</v>
      </c>
      <c r="D335" s="4">
        <f>IFERROR(__xludf.DUMMYFUNCTION("""COMPUTED_VALUE"""),13.0)</f>
        <v>13</v>
      </c>
      <c r="E335" s="4">
        <f>IFERROR(__xludf.DUMMYFUNCTION("""COMPUTED_VALUE"""),0.0)</f>
        <v>0</v>
      </c>
      <c r="F335" s="4">
        <f>IFERROR(__xludf.DUMMYFUNCTION("""COMPUTED_VALUE"""),0.0)</f>
        <v>0</v>
      </c>
      <c r="G335" s="4">
        <f>IFERROR(__xludf.DUMMYFUNCTION("""COMPUTED_VALUE"""),0.0)</f>
        <v>0</v>
      </c>
      <c r="H335" s="4">
        <f>IFERROR(__xludf.DUMMYFUNCTION("""COMPUTED_VALUE"""),0.0)</f>
        <v>0</v>
      </c>
      <c r="I335" s="2" t="str">
        <f>IFERROR(__xludf.DUMMYFUNCTION("""COMPUTED_VALUE"""),"random")</f>
        <v>random</v>
      </c>
      <c r="J335" s="2">
        <f t="shared" si="2"/>
        <v>8</v>
      </c>
      <c r="K335" s="2">
        <f t="shared" si="3"/>
        <v>500</v>
      </c>
      <c r="L335" s="2">
        <f t="shared" si="4"/>
        <v>0</v>
      </c>
    </row>
    <row r="336">
      <c r="A336" s="2" t="str">
        <f>IFERROR(__xludf.DUMMYFUNCTION("""COMPUTED_VALUE"""),"examples/random/dense_300_1_4")</f>
        <v>examples/random/dense_300_1_4</v>
      </c>
      <c r="B336" s="4">
        <f>IFERROR(__xludf.DUMMYFUNCTION("""COMPUTED_VALUE"""),1176.0)</f>
        <v>1176</v>
      </c>
      <c r="C336" s="4">
        <f>IFERROR(__xludf.DUMMYFUNCTION("""COMPUTED_VALUE"""),60.0)</f>
        <v>60</v>
      </c>
      <c r="D336" s="4">
        <f>IFERROR(__xludf.DUMMYFUNCTION("""COMPUTED_VALUE"""),270.0)</f>
        <v>270</v>
      </c>
      <c r="E336" s="4">
        <f>IFERROR(__xludf.DUMMYFUNCTION("""COMPUTED_VALUE"""),3.0)</f>
        <v>3</v>
      </c>
      <c r="F336" s="4">
        <f>IFERROR(__xludf.DUMMYFUNCTION("""COMPUTED_VALUE"""),5.0)</f>
        <v>5</v>
      </c>
      <c r="G336" s="4">
        <f>IFERROR(__xludf.DUMMYFUNCTION("""COMPUTED_VALUE"""),2.0)</f>
        <v>2</v>
      </c>
      <c r="H336" s="4">
        <f>IFERROR(__xludf.DUMMYFUNCTION("""COMPUTED_VALUE"""),0.0)</f>
        <v>0</v>
      </c>
      <c r="I336" s="2" t="str">
        <f>IFERROR(__xludf.DUMMYFUNCTION("""COMPUTED_VALUE"""),"random")</f>
        <v>random</v>
      </c>
      <c r="J336" s="2">
        <f t="shared" si="2"/>
        <v>9</v>
      </c>
      <c r="K336" s="2">
        <f t="shared" si="3"/>
        <v>1000</v>
      </c>
      <c r="L336" s="2" t="str">
        <f t="shared" si="4"/>
        <v>P</v>
      </c>
    </row>
    <row r="337">
      <c r="A337" s="2" t="str">
        <f>IFERROR(__xludf.DUMMYFUNCTION("""COMPUTED_VALUE"""),"examples/random/sparse_100000_2_2")</f>
        <v>examples/random/sparse_100000_2_2</v>
      </c>
      <c r="B337" s="4">
        <f>IFERROR(__xludf.DUMMYFUNCTION("""COMPUTED_VALUE"""),300000.0)</f>
        <v>300000</v>
      </c>
      <c r="C337" s="4">
        <f>IFERROR(__xludf.DUMMYFUNCTION("""COMPUTED_VALUE"""),60.0)</f>
        <v>60</v>
      </c>
      <c r="D337" s="4">
        <f>IFERROR(__xludf.DUMMYFUNCTION("""COMPUTED_VALUE"""),60000.0)</f>
        <v>60000</v>
      </c>
      <c r="E337" s="4">
        <f>IFERROR(__xludf.DUMMYFUNCTION("""COMPUTED_VALUE"""),60000.0)</f>
        <v>60000</v>
      </c>
      <c r="F337" s="4">
        <f>IFERROR(__xludf.DUMMYFUNCTION("""COMPUTED_VALUE"""),60000.0)</f>
        <v>60000</v>
      </c>
      <c r="G337" s="4">
        <f>IFERROR(__xludf.DUMMYFUNCTION("""COMPUTED_VALUE"""),1113.0)</f>
        <v>1113</v>
      </c>
      <c r="H337" s="4">
        <f>IFERROR(__xludf.DUMMYFUNCTION("""COMPUTED_VALUE"""),208.0)</f>
        <v>208</v>
      </c>
      <c r="I337" s="2" t="str">
        <f>IFERROR(__xludf.DUMMYFUNCTION("""COMPUTED_VALUE"""),"random")</f>
        <v>random</v>
      </c>
      <c r="J337" s="2">
        <f t="shared" si="2"/>
        <v>16</v>
      </c>
      <c r="K337" s="2">
        <f t="shared" si="3"/>
        <v>200000</v>
      </c>
      <c r="L337" s="2" t="str">
        <f t="shared" si="4"/>
        <v>P</v>
      </c>
    </row>
    <row r="338">
      <c r="A338" s="2" t="str">
        <f>IFERROR(__xludf.DUMMYFUNCTION("""COMPUTED_VALUE"""),"examples/random/sparse_3000_3_7")</f>
        <v>examples/random/sparse_3000_3_7</v>
      </c>
      <c r="B338" s="4">
        <f>IFERROR(__xludf.DUMMYFUNCTION("""COMPUTED_VALUE"""),12000.0)</f>
        <v>12000</v>
      </c>
      <c r="C338" s="4">
        <f>IFERROR(__xludf.DUMMYFUNCTION("""COMPUTED_VALUE"""),60.0)</f>
        <v>60</v>
      </c>
      <c r="D338" s="4">
        <f>IFERROR(__xludf.DUMMYFUNCTION("""COMPUTED_VALUE"""),60000.0)</f>
        <v>60000</v>
      </c>
      <c r="E338" s="4">
        <f>IFERROR(__xludf.DUMMYFUNCTION("""COMPUTED_VALUE"""),270.0)</f>
        <v>270</v>
      </c>
      <c r="F338" s="4">
        <f>IFERROR(__xludf.DUMMYFUNCTION("""COMPUTED_VALUE"""),495.0)</f>
        <v>495</v>
      </c>
      <c r="G338" s="4">
        <f>IFERROR(__xludf.DUMMYFUNCTION("""COMPUTED_VALUE"""),38.0)</f>
        <v>38</v>
      </c>
      <c r="H338" s="4">
        <f>IFERROR(__xludf.DUMMYFUNCTION("""COMPUTED_VALUE"""),7.0)</f>
        <v>7</v>
      </c>
      <c r="I338" s="2" t="str">
        <f>IFERROR(__xludf.DUMMYFUNCTION("""COMPUTED_VALUE"""),"random")</f>
        <v>random</v>
      </c>
      <c r="J338" s="2">
        <f t="shared" si="2"/>
        <v>12</v>
      </c>
      <c r="K338" s="2">
        <f t="shared" si="3"/>
        <v>10000</v>
      </c>
      <c r="L338" s="2" t="str">
        <f t="shared" si="4"/>
        <v>P</v>
      </c>
    </row>
    <row r="339">
      <c r="A339" s="2" t="str">
        <f>IFERROR(__xludf.DUMMYFUNCTION("""COMPUTED_VALUE"""),"examples/random/sparse_3000_1_9")</f>
        <v>examples/random/sparse_3000_1_9</v>
      </c>
      <c r="B339" s="4">
        <f>IFERROR(__xludf.DUMMYFUNCTION("""COMPUTED_VALUE"""),6000.0)</f>
        <v>6000</v>
      </c>
      <c r="C339" s="4">
        <f>IFERROR(__xludf.DUMMYFUNCTION("""COMPUTED_VALUE"""),60.0)</f>
        <v>60</v>
      </c>
      <c r="D339" s="4">
        <f>IFERROR(__xludf.DUMMYFUNCTION("""COMPUTED_VALUE"""),1551.0)</f>
        <v>1551</v>
      </c>
      <c r="E339" s="4">
        <f>IFERROR(__xludf.DUMMYFUNCTION("""COMPUTED_VALUE"""),6.0)</f>
        <v>6</v>
      </c>
      <c r="F339" s="4">
        <f>IFERROR(__xludf.DUMMYFUNCTION("""COMPUTED_VALUE"""),5.0)</f>
        <v>5</v>
      </c>
      <c r="G339" s="4">
        <f>IFERROR(__xludf.DUMMYFUNCTION("""COMPUTED_VALUE"""),32.0)</f>
        <v>32</v>
      </c>
      <c r="H339" s="4">
        <f>IFERROR(__xludf.DUMMYFUNCTION("""COMPUTED_VALUE"""),4.0)</f>
        <v>4</v>
      </c>
      <c r="I339" s="2" t="str">
        <f>IFERROR(__xludf.DUMMYFUNCTION("""COMPUTED_VALUE"""),"random")</f>
        <v>random</v>
      </c>
      <c r="J339" s="2">
        <f t="shared" si="2"/>
        <v>11</v>
      </c>
      <c r="K339" s="2">
        <f t="shared" si="3"/>
        <v>5000</v>
      </c>
      <c r="L339" s="2" t="str">
        <f t="shared" si="4"/>
        <v>P</v>
      </c>
    </row>
    <row r="340">
      <c r="A340" s="2" t="str">
        <f>IFERROR(__xludf.DUMMYFUNCTION("""COMPUTED_VALUE"""),"examples/random/sparse_1000_2_6")</f>
        <v>examples/random/sparse_1000_2_6</v>
      </c>
      <c r="B340" s="4">
        <f>IFERROR(__xludf.DUMMYFUNCTION("""COMPUTED_VALUE"""),3000.0)</f>
        <v>3000</v>
      </c>
      <c r="C340" s="4">
        <f>IFERROR(__xludf.DUMMYFUNCTION("""COMPUTED_VALUE"""),60.0)</f>
        <v>60</v>
      </c>
      <c r="D340" s="4">
        <f>IFERROR(__xludf.DUMMYFUNCTION("""COMPUTED_VALUE"""),4786.0)</f>
        <v>4786</v>
      </c>
      <c r="E340" s="4">
        <f>IFERROR(__xludf.DUMMYFUNCTION("""COMPUTED_VALUE"""),13.0)</f>
        <v>13</v>
      </c>
      <c r="F340" s="4">
        <f>IFERROR(__xludf.DUMMYFUNCTION("""COMPUTED_VALUE"""),24.0)</f>
        <v>24</v>
      </c>
      <c r="G340" s="4">
        <f>IFERROR(__xludf.DUMMYFUNCTION("""COMPUTED_VALUE"""),8.0)</f>
        <v>8</v>
      </c>
      <c r="H340" s="4">
        <f>IFERROR(__xludf.DUMMYFUNCTION("""COMPUTED_VALUE"""),1.0)</f>
        <v>1</v>
      </c>
      <c r="I340" s="2" t="str">
        <f>IFERROR(__xludf.DUMMYFUNCTION("""COMPUTED_VALUE"""),"random")</f>
        <v>random</v>
      </c>
      <c r="J340" s="2">
        <f t="shared" si="2"/>
        <v>10</v>
      </c>
      <c r="K340" s="2">
        <f t="shared" si="3"/>
        <v>2000</v>
      </c>
      <c r="L340" s="2" t="str">
        <f t="shared" si="4"/>
        <v>P</v>
      </c>
    </row>
    <row r="341">
      <c r="A341" s="2" t="str">
        <f>IFERROR(__xludf.DUMMYFUNCTION("""COMPUTED_VALUE"""),"examples/random/dense_1000_1_2")</f>
        <v>examples/random/dense_1000_1_2</v>
      </c>
      <c r="B341" s="4">
        <f>IFERROR(__xludf.DUMMYFUNCTION("""COMPUTED_VALUE"""),10955.0)</f>
        <v>10955</v>
      </c>
      <c r="C341" s="4">
        <f>IFERROR(__xludf.DUMMYFUNCTION("""COMPUTED_VALUE"""),60.0)</f>
        <v>60</v>
      </c>
      <c r="D341" s="4">
        <f>IFERROR(__xludf.DUMMYFUNCTION("""COMPUTED_VALUE"""),50874.0)</f>
        <v>50874</v>
      </c>
      <c r="E341" s="4">
        <f>IFERROR(__xludf.DUMMYFUNCTION("""COMPUTED_VALUE"""),144.0)</f>
        <v>144</v>
      </c>
      <c r="F341" s="4">
        <f>IFERROR(__xludf.DUMMYFUNCTION("""COMPUTED_VALUE"""),203.0)</f>
        <v>203</v>
      </c>
      <c r="G341" s="4">
        <f>IFERROR(__xludf.DUMMYFUNCTION("""COMPUTED_VALUE"""),8.0)</f>
        <v>8</v>
      </c>
      <c r="H341" s="4">
        <f>IFERROR(__xludf.DUMMYFUNCTION("""COMPUTED_VALUE"""),2.0)</f>
        <v>2</v>
      </c>
      <c r="I341" s="2" t="str">
        <f>IFERROR(__xludf.DUMMYFUNCTION("""COMPUTED_VALUE"""),"random")</f>
        <v>random</v>
      </c>
      <c r="J341" s="2">
        <f t="shared" si="2"/>
        <v>12</v>
      </c>
      <c r="K341" s="2">
        <f t="shared" si="3"/>
        <v>10000</v>
      </c>
      <c r="L341" s="2" t="str">
        <f t="shared" si="4"/>
        <v>P</v>
      </c>
    </row>
    <row r="342">
      <c r="A342" s="2" t="str">
        <f>IFERROR(__xludf.DUMMYFUNCTION("""COMPUTED_VALUE"""),"examples/random/sparse_300_3_2")</f>
        <v>examples/random/sparse_300_3_2</v>
      </c>
      <c r="B342" s="4">
        <f>IFERROR(__xludf.DUMMYFUNCTION("""COMPUTED_VALUE"""),1200.0)</f>
        <v>1200</v>
      </c>
      <c r="C342" s="4">
        <f>IFERROR(__xludf.DUMMYFUNCTION("""COMPUTED_VALUE"""),60.0)</f>
        <v>60</v>
      </c>
      <c r="D342" s="4">
        <f>IFERROR(__xludf.DUMMYFUNCTION("""COMPUTED_VALUE"""),334.0)</f>
        <v>334</v>
      </c>
      <c r="E342" s="4">
        <f>IFERROR(__xludf.DUMMYFUNCTION("""COMPUTED_VALUE"""),2.0)</f>
        <v>2</v>
      </c>
      <c r="F342" s="4">
        <f>IFERROR(__xludf.DUMMYFUNCTION("""COMPUTED_VALUE"""),4.0)</f>
        <v>4</v>
      </c>
      <c r="G342" s="4">
        <f>IFERROR(__xludf.DUMMYFUNCTION("""COMPUTED_VALUE"""),2.0)</f>
        <v>2</v>
      </c>
      <c r="H342" s="4">
        <f>IFERROR(__xludf.DUMMYFUNCTION("""COMPUTED_VALUE"""),0.0)</f>
        <v>0</v>
      </c>
      <c r="I342" s="2" t="str">
        <f>IFERROR(__xludf.DUMMYFUNCTION("""COMPUTED_VALUE"""),"random")</f>
        <v>random</v>
      </c>
      <c r="J342" s="2">
        <f t="shared" si="2"/>
        <v>9</v>
      </c>
      <c r="K342" s="2">
        <f t="shared" si="3"/>
        <v>1000</v>
      </c>
      <c r="L342" s="2" t="str">
        <f t="shared" si="4"/>
        <v>P</v>
      </c>
    </row>
    <row r="343">
      <c r="A343" s="2" t="str">
        <f>IFERROR(__xludf.DUMMYFUNCTION("""COMPUTED_VALUE"""),"examples/random/sparse_300_10_5")</f>
        <v>examples/random/sparse_300_10_5</v>
      </c>
      <c r="B343" s="4">
        <f>IFERROR(__xludf.DUMMYFUNCTION("""COMPUTED_VALUE"""),3300.0)</f>
        <v>3300</v>
      </c>
      <c r="C343" s="4">
        <f>IFERROR(__xludf.DUMMYFUNCTION("""COMPUTED_VALUE"""),60.0)</f>
        <v>60</v>
      </c>
      <c r="D343" s="4">
        <f>IFERROR(__xludf.DUMMYFUNCTION("""COMPUTED_VALUE"""),1303.0)</f>
        <v>1303</v>
      </c>
      <c r="E343" s="4">
        <f>IFERROR(__xludf.DUMMYFUNCTION("""COMPUTED_VALUE"""),13.0)</f>
        <v>13</v>
      </c>
      <c r="F343" s="4">
        <f>IFERROR(__xludf.DUMMYFUNCTION("""COMPUTED_VALUE"""),19.0)</f>
        <v>19</v>
      </c>
      <c r="G343" s="4">
        <f>IFERROR(__xludf.DUMMYFUNCTION("""COMPUTED_VALUE"""),2.0)</f>
        <v>2</v>
      </c>
      <c r="H343" s="4">
        <f>IFERROR(__xludf.DUMMYFUNCTION("""COMPUTED_VALUE"""),1.0)</f>
        <v>1</v>
      </c>
      <c r="I343" s="2" t="str">
        <f>IFERROR(__xludf.DUMMYFUNCTION("""COMPUTED_VALUE"""),"random")</f>
        <v>random</v>
      </c>
      <c r="J343" s="2">
        <f t="shared" si="2"/>
        <v>11</v>
      </c>
      <c r="K343" s="2">
        <f t="shared" si="3"/>
        <v>5000</v>
      </c>
      <c r="L343" s="2" t="str">
        <f t="shared" si="4"/>
        <v>P</v>
      </c>
    </row>
    <row r="344">
      <c r="A344" s="2" t="str">
        <f>IFERROR(__xludf.DUMMYFUNCTION("""COMPUTED_VALUE"""),"examples/random/sparse_3000_1_10")</f>
        <v>examples/random/sparse_3000_1_10</v>
      </c>
      <c r="B344" s="4">
        <f>IFERROR(__xludf.DUMMYFUNCTION("""COMPUTED_VALUE"""),6000.0)</f>
        <v>6000</v>
      </c>
      <c r="C344" s="4">
        <f>IFERROR(__xludf.DUMMYFUNCTION("""COMPUTED_VALUE"""),60.0)</f>
        <v>60</v>
      </c>
      <c r="D344" s="4">
        <f>IFERROR(__xludf.DUMMYFUNCTION("""COMPUTED_VALUE"""),1540.0)</f>
        <v>1540</v>
      </c>
      <c r="E344" s="4">
        <f>IFERROR(__xludf.DUMMYFUNCTION("""COMPUTED_VALUE"""),6.0)</f>
        <v>6</v>
      </c>
      <c r="F344" s="4">
        <f>IFERROR(__xludf.DUMMYFUNCTION("""COMPUTED_VALUE"""),5.0)</f>
        <v>5</v>
      </c>
      <c r="G344" s="4">
        <f>IFERROR(__xludf.DUMMYFUNCTION("""COMPUTED_VALUE"""),31.0)</f>
        <v>31</v>
      </c>
      <c r="H344" s="4">
        <f>IFERROR(__xludf.DUMMYFUNCTION("""COMPUTED_VALUE"""),4.0)</f>
        <v>4</v>
      </c>
      <c r="I344" s="2" t="str">
        <f>IFERROR(__xludf.DUMMYFUNCTION("""COMPUTED_VALUE"""),"random")</f>
        <v>random</v>
      </c>
      <c r="J344" s="2">
        <f t="shared" si="2"/>
        <v>11</v>
      </c>
      <c r="K344" s="2">
        <f t="shared" si="3"/>
        <v>5000</v>
      </c>
      <c r="L344" s="2" t="str">
        <f t="shared" si="4"/>
        <v>P</v>
      </c>
    </row>
    <row r="345">
      <c r="A345" s="2" t="str">
        <f>IFERROR(__xludf.DUMMYFUNCTION("""COMPUTED_VALUE"""),"examples/random/sparse_10000_3_5")</f>
        <v>examples/random/sparse_10000_3_5</v>
      </c>
      <c r="B345" s="4">
        <f>IFERROR(__xludf.DUMMYFUNCTION("""COMPUTED_VALUE"""),40000.0)</f>
        <v>40000</v>
      </c>
      <c r="C345" s="4">
        <f>IFERROR(__xludf.DUMMYFUNCTION("""COMPUTED_VALUE"""),60.0)</f>
        <v>60</v>
      </c>
      <c r="D345" s="4">
        <f>IFERROR(__xludf.DUMMYFUNCTION("""COMPUTED_VALUE"""),60000.0)</f>
        <v>60000</v>
      </c>
      <c r="E345" s="4">
        <f>IFERROR(__xludf.DUMMYFUNCTION("""COMPUTED_VALUE"""),3243.0)</f>
        <v>3243</v>
      </c>
      <c r="F345" s="4">
        <f>IFERROR(__xludf.DUMMYFUNCTION("""COMPUTED_VALUE"""),5765.0)</f>
        <v>5765</v>
      </c>
      <c r="G345" s="4">
        <f>IFERROR(__xludf.DUMMYFUNCTION("""COMPUTED_VALUE"""),83.0)</f>
        <v>83</v>
      </c>
      <c r="H345" s="4">
        <f>IFERROR(__xludf.DUMMYFUNCTION("""COMPUTED_VALUE"""),17.0)</f>
        <v>17</v>
      </c>
      <c r="I345" s="2" t="str">
        <f>IFERROR(__xludf.DUMMYFUNCTION("""COMPUTED_VALUE"""),"random")</f>
        <v>random</v>
      </c>
      <c r="J345" s="2">
        <f t="shared" si="2"/>
        <v>14</v>
      </c>
      <c r="K345" s="2">
        <f t="shared" si="3"/>
        <v>50000</v>
      </c>
      <c r="L345" s="2" t="str">
        <f t="shared" si="4"/>
        <v>P</v>
      </c>
    </row>
    <row r="346">
      <c r="A346" s="2" t="str">
        <f>IFERROR(__xludf.DUMMYFUNCTION("""COMPUTED_VALUE"""),"examples/random/dense_3000_1_9")</f>
        <v>examples/random/dense_3000_1_9</v>
      </c>
      <c r="B346" s="4">
        <f>IFERROR(__xludf.DUMMYFUNCTION("""COMPUTED_VALUE"""),92580.0)</f>
        <v>92580</v>
      </c>
      <c r="C346" s="4">
        <f>IFERROR(__xludf.DUMMYFUNCTION("""COMPUTED_VALUE"""),60.0)</f>
        <v>60</v>
      </c>
      <c r="D346" s="4">
        <f>IFERROR(__xludf.DUMMYFUNCTION("""COMPUTED_VALUE"""),60000.0)</f>
        <v>60000</v>
      </c>
      <c r="E346" s="4">
        <f>IFERROR(__xludf.DUMMYFUNCTION("""COMPUTED_VALUE"""),4179.0)</f>
        <v>4179</v>
      </c>
      <c r="F346" s="4">
        <f>IFERROR(__xludf.DUMMYFUNCTION("""COMPUTED_VALUE"""),6875.0)</f>
        <v>6875</v>
      </c>
      <c r="G346" s="4">
        <f>IFERROR(__xludf.DUMMYFUNCTION("""COMPUTED_VALUE"""),43.0)</f>
        <v>43</v>
      </c>
      <c r="H346" s="4">
        <f>IFERROR(__xludf.DUMMYFUNCTION("""COMPUTED_VALUE"""),20.0)</f>
        <v>20</v>
      </c>
      <c r="I346" s="2" t="str">
        <f>IFERROR(__xludf.DUMMYFUNCTION("""COMPUTED_VALUE"""),"random")</f>
        <v>random</v>
      </c>
      <c r="J346" s="2">
        <f t="shared" si="2"/>
        <v>15</v>
      </c>
      <c r="K346" s="2">
        <f t="shared" si="3"/>
        <v>100000</v>
      </c>
      <c r="L346" s="2" t="str">
        <f t="shared" si="4"/>
        <v>P</v>
      </c>
    </row>
    <row r="347">
      <c r="A347" s="2" t="str">
        <f>IFERROR(__xludf.DUMMYFUNCTION("""COMPUTED_VALUE"""),"examples/random/sparse_300_2_8")</f>
        <v>examples/random/sparse_300_2_8</v>
      </c>
      <c r="B347" s="4">
        <f>IFERROR(__xludf.DUMMYFUNCTION("""COMPUTED_VALUE"""),900.0)</f>
        <v>900</v>
      </c>
      <c r="C347" s="4">
        <f>IFERROR(__xludf.DUMMYFUNCTION("""COMPUTED_VALUE"""),60.0)</f>
        <v>60</v>
      </c>
      <c r="D347" s="4">
        <f>IFERROR(__xludf.DUMMYFUNCTION("""COMPUTED_VALUE"""),135.0)</f>
        <v>135</v>
      </c>
      <c r="E347" s="4">
        <f>IFERROR(__xludf.DUMMYFUNCTION("""COMPUTED_VALUE"""),1.0)</f>
        <v>1</v>
      </c>
      <c r="F347" s="4">
        <f>IFERROR(__xludf.DUMMYFUNCTION("""COMPUTED_VALUE"""),2.0)</f>
        <v>2</v>
      </c>
      <c r="G347" s="4">
        <f>IFERROR(__xludf.DUMMYFUNCTION("""COMPUTED_VALUE"""),2.0)</f>
        <v>2</v>
      </c>
      <c r="H347" s="4">
        <f>IFERROR(__xludf.DUMMYFUNCTION("""COMPUTED_VALUE"""),0.0)</f>
        <v>0</v>
      </c>
      <c r="I347" s="2" t="str">
        <f>IFERROR(__xludf.DUMMYFUNCTION("""COMPUTED_VALUE"""),"random")</f>
        <v>random</v>
      </c>
      <c r="J347" s="2">
        <f t="shared" si="2"/>
        <v>9</v>
      </c>
      <c r="K347" s="2">
        <f t="shared" si="3"/>
        <v>1000</v>
      </c>
      <c r="L347" s="2" t="str">
        <f t="shared" si="4"/>
        <v>P</v>
      </c>
    </row>
    <row r="348">
      <c r="A348" s="2" t="str">
        <f>IFERROR(__xludf.DUMMYFUNCTION("""COMPUTED_VALUE"""),"examples/random/dense_1000_2_6")</f>
        <v>examples/random/dense_1000_2_6</v>
      </c>
      <c r="B348" s="4">
        <f>IFERROR(__xludf.DUMMYFUNCTION("""COMPUTED_VALUE"""),21121.0)</f>
        <v>21121</v>
      </c>
      <c r="C348" s="4">
        <f>IFERROR(__xludf.DUMMYFUNCTION("""COMPUTED_VALUE"""),60.0)</f>
        <v>60</v>
      </c>
      <c r="D348" s="4">
        <f>IFERROR(__xludf.DUMMYFUNCTION("""COMPUTED_VALUE"""),60000.0)</f>
        <v>60000</v>
      </c>
      <c r="E348" s="4">
        <f>IFERROR(__xludf.DUMMYFUNCTION("""COMPUTED_VALUE"""),291.0)</f>
        <v>291</v>
      </c>
      <c r="F348" s="4">
        <f>IFERROR(__xludf.DUMMYFUNCTION("""COMPUTED_VALUE"""),424.0)</f>
        <v>424</v>
      </c>
      <c r="G348" s="4">
        <f>IFERROR(__xludf.DUMMYFUNCTION("""COMPUTED_VALUE"""),11.0)</f>
        <v>11</v>
      </c>
      <c r="H348" s="4">
        <f>IFERROR(__xludf.DUMMYFUNCTION("""COMPUTED_VALUE"""),4.0)</f>
        <v>4</v>
      </c>
      <c r="I348" s="2" t="str">
        <f>IFERROR(__xludf.DUMMYFUNCTION("""COMPUTED_VALUE"""),"random")</f>
        <v>random</v>
      </c>
      <c r="J348" s="2">
        <f t="shared" si="2"/>
        <v>13</v>
      </c>
      <c r="K348" s="2">
        <f t="shared" si="3"/>
        <v>20000</v>
      </c>
      <c r="L348" s="2" t="str">
        <f t="shared" si="4"/>
        <v>P</v>
      </c>
    </row>
    <row r="349">
      <c r="A349" s="2" t="str">
        <f>IFERROR(__xludf.DUMMYFUNCTION("""COMPUTED_VALUE"""),"examples/random/sparse_30000_3_1")</f>
        <v>examples/random/sparse_30000_3_1</v>
      </c>
      <c r="B349" s="4">
        <f>IFERROR(__xludf.DUMMYFUNCTION("""COMPUTED_VALUE"""),120000.0)</f>
        <v>120000</v>
      </c>
      <c r="C349" s="4">
        <f>IFERROR(__xludf.DUMMYFUNCTION("""COMPUTED_VALUE"""),60.0)</f>
        <v>60</v>
      </c>
      <c r="D349" s="4">
        <f>IFERROR(__xludf.DUMMYFUNCTION("""COMPUTED_VALUE"""),60000.0)</f>
        <v>60000</v>
      </c>
      <c r="E349" s="4">
        <f>IFERROR(__xludf.DUMMYFUNCTION("""COMPUTED_VALUE"""),31663.0)</f>
        <v>31663</v>
      </c>
      <c r="F349" s="4">
        <f>IFERROR(__xludf.DUMMYFUNCTION("""COMPUTED_VALUE"""),57508.0)</f>
        <v>57508</v>
      </c>
      <c r="G349" s="4">
        <f>IFERROR(__xludf.DUMMYFUNCTION("""COMPUTED_VALUE"""),317.0)</f>
        <v>317</v>
      </c>
      <c r="H349" s="4">
        <f>IFERROR(__xludf.DUMMYFUNCTION("""COMPUTED_VALUE"""),75.0)</f>
        <v>75</v>
      </c>
      <c r="I349" s="2" t="str">
        <f>IFERROR(__xludf.DUMMYFUNCTION("""COMPUTED_VALUE"""),"random")</f>
        <v>random</v>
      </c>
      <c r="J349" s="2">
        <f t="shared" si="2"/>
        <v>15</v>
      </c>
      <c r="K349" s="2">
        <f t="shared" si="3"/>
        <v>100000</v>
      </c>
      <c r="L349" s="2" t="str">
        <f t="shared" si="4"/>
        <v>P</v>
      </c>
    </row>
    <row r="350">
      <c r="A350" s="2" t="str">
        <f>IFERROR(__xludf.DUMMYFUNCTION("""COMPUTED_VALUE"""),"examples/random/dense_3000_3_7")</f>
        <v>examples/random/dense_3000_3_7</v>
      </c>
      <c r="B350" s="4">
        <f>IFERROR(__xludf.DUMMYFUNCTION("""COMPUTED_VALUE"""),272955.0)</f>
        <v>272955</v>
      </c>
      <c r="C350" s="4">
        <f>IFERROR(__xludf.DUMMYFUNCTION("""COMPUTED_VALUE"""),60.0)</f>
        <v>60</v>
      </c>
      <c r="D350" s="4">
        <f>IFERROR(__xludf.DUMMYFUNCTION("""COMPUTED_VALUE"""),60000.0)</f>
        <v>60000</v>
      </c>
      <c r="E350" s="4">
        <f>IFERROR(__xludf.DUMMYFUNCTION("""COMPUTED_VALUE"""),12808.0)</f>
        <v>12808</v>
      </c>
      <c r="F350" s="4">
        <f>IFERROR(__xludf.DUMMYFUNCTION("""COMPUTED_VALUE"""),36099.0)</f>
        <v>36099</v>
      </c>
      <c r="G350" s="4">
        <f>IFERROR(__xludf.DUMMYFUNCTION("""COMPUTED_VALUE"""),95.0)</f>
        <v>95</v>
      </c>
      <c r="H350" s="4">
        <f>IFERROR(__xludf.DUMMYFUNCTION("""COMPUTED_VALUE"""),58.0)</f>
        <v>58</v>
      </c>
      <c r="I350" s="2" t="str">
        <f>IFERROR(__xludf.DUMMYFUNCTION("""COMPUTED_VALUE"""),"random")</f>
        <v>random</v>
      </c>
      <c r="J350" s="2">
        <f t="shared" si="2"/>
        <v>16</v>
      </c>
      <c r="K350" s="2">
        <f t="shared" si="3"/>
        <v>200000</v>
      </c>
      <c r="L350" s="2" t="str">
        <f t="shared" si="4"/>
        <v>P</v>
      </c>
    </row>
    <row r="351">
      <c r="A351" s="2" t="str">
        <f>IFERROR(__xludf.DUMMYFUNCTION("""COMPUTED_VALUE"""),"examples/random/sparse_10000_1_10")</f>
        <v>examples/random/sparse_10000_1_10</v>
      </c>
      <c r="B351" s="4">
        <f>IFERROR(__xludf.DUMMYFUNCTION("""COMPUTED_VALUE"""),20000.0)</f>
        <v>20000</v>
      </c>
      <c r="C351" s="4">
        <f>IFERROR(__xludf.DUMMYFUNCTION("""COMPUTED_VALUE"""),60.0)</f>
        <v>60</v>
      </c>
      <c r="D351" s="4">
        <f>IFERROR(__xludf.DUMMYFUNCTION("""COMPUTED_VALUE"""),17924.0)</f>
        <v>17924</v>
      </c>
      <c r="E351" s="4">
        <f>IFERROR(__xludf.DUMMYFUNCTION("""COMPUTED_VALUE"""),22.0)</f>
        <v>22</v>
      </c>
      <c r="F351" s="4">
        <f>IFERROR(__xludf.DUMMYFUNCTION("""COMPUTED_VALUE"""),20.0)</f>
        <v>20</v>
      </c>
      <c r="G351" s="4">
        <f>IFERROR(__xludf.DUMMYFUNCTION("""COMPUTED_VALUE"""),119.0)</f>
        <v>119</v>
      </c>
      <c r="H351" s="4">
        <f>IFERROR(__xludf.DUMMYFUNCTION("""COMPUTED_VALUE"""),15.0)</f>
        <v>15</v>
      </c>
      <c r="I351" s="2" t="str">
        <f>IFERROR(__xludf.DUMMYFUNCTION("""COMPUTED_VALUE"""),"random")</f>
        <v>random</v>
      </c>
      <c r="J351" s="2">
        <f t="shared" si="2"/>
        <v>13</v>
      </c>
      <c r="K351" s="2">
        <f t="shared" si="3"/>
        <v>20000</v>
      </c>
      <c r="L351" s="2" t="str">
        <f t="shared" si="4"/>
        <v>P</v>
      </c>
    </row>
    <row r="352">
      <c r="A352" s="2" t="str">
        <f>IFERROR(__xludf.DUMMYFUNCTION("""COMPUTED_VALUE"""),"examples/random/dense_10000_3_1")</f>
        <v>examples/random/dense_10000_3_1</v>
      </c>
      <c r="B352" s="4">
        <f>IFERROR(__xludf.DUMMYFUNCTION("""COMPUTED_VALUE"""),3013122.0)</f>
        <v>3013122</v>
      </c>
      <c r="C352" s="4">
        <f>IFERROR(__xludf.DUMMYFUNCTION("""COMPUTED_VALUE"""),60.0)</f>
        <v>60</v>
      </c>
      <c r="D352" s="4">
        <f>IFERROR(__xludf.DUMMYFUNCTION("""COMPUTED_VALUE"""),60000.0)</f>
        <v>60000</v>
      </c>
      <c r="E352" s="4">
        <f>IFERROR(__xludf.DUMMYFUNCTION("""COMPUTED_VALUE"""),60000.0)</f>
        <v>60000</v>
      </c>
      <c r="F352" s="4">
        <f>IFERROR(__xludf.DUMMYFUNCTION("""COMPUTED_VALUE"""),60000.0)</f>
        <v>60000</v>
      </c>
      <c r="G352" s="4">
        <f>IFERROR(__xludf.DUMMYFUNCTION("""COMPUTED_VALUE"""),908.0)</f>
        <v>908</v>
      </c>
      <c r="H352" s="4">
        <f>IFERROR(__xludf.DUMMYFUNCTION("""COMPUTED_VALUE"""),667.0)</f>
        <v>667</v>
      </c>
      <c r="I352" s="2" t="str">
        <f>IFERROR(__xludf.DUMMYFUNCTION("""COMPUTED_VALUE"""),"random")</f>
        <v>random</v>
      </c>
      <c r="J352" s="2">
        <f t="shared" si="2"/>
        <v>19</v>
      </c>
      <c r="K352" s="2">
        <f t="shared" si="3"/>
        <v>2000000</v>
      </c>
      <c r="L352" s="2" t="str">
        <f t="shared" si="4"/>
        <v>P</v>
      </c>
    </row>
    <row r="353">
      <c r="A353" s="2" t="str">
        <f>IFERROR(__xludf.DUMMYFUNCTION("""COMPUTED_VALUE"""),"examples/random/dense_300_3_3")</f>
        <v>examples/random/dense_300_3_3</v>
      </c>
      <c r="B353" s="4">
        <f>IFERROR(__xludf.DUMMYFUNCTION("""COMPUTED_VALUE"""),3055.0)</f>
        <v>3055</v>
      </c>
      <c r="C353" s="4">
        <f>IFERROR(__xludf.DUMMYFUNCTION("""COMPUTED_VALUE"""),60.0)</f>
        <v>60</v>
      </c>
      <c r="D353" s="4">
        <f>IFERROR(__xludf.DUMMYFUNCTION("""COMPUTED_VALUE"""),1264.0)</f>
        <v>1264</v>
      </c>
      <c r="E353" s="4">
        <f>IFERROR(__xludf.DUMMYFUNCTION("""COMPUTED_VALUE"""),11.0)</f>
        <v>11</v>
      </c>
      <c r="F353" s="4">
        <f>IFERROR(__xludf.DUMMYFUNCTION("""COMPUTED_VALUE"""),16.0)</f>
        <v>16</v>
      </c>
      <c r="G353" s="4">
        <f>IFERROR(__xludf.DUMMYFUNCTION("""COMPUTED_VALUE"""),2.0)</f>
        <v>2</v>
      </c>
      <c r="H353" s="4">
        <f>IFERROR(__xludf.DUMMYFUNCTION("""COMPUTED_VALUE"""),0.0)</f>
        <v>0</v>
      </c>
      <c r="I353" s="2" t="str">
        <f>IFERROR(__xludf.DUMMYFUNCTION("""COMPUTED_VALUE"""),"random")</f>
        <v>random</v>
      </c>
      <c r="J353" s="2">
        <f t="shared" si="2"/>
        <v>10</v>
      </c>
      <c r="K353" s="2">
        <f t="shared" si="3"/>
        <v>2000</v>
      </c>
      <c r="L353" s="2" t="str">
        <f t="shared" si="4"/>
        <v>P</v>
      </c>
    </row>
    <row r="354">
      <c r="A354" s="2" t="str">
        <f>IFERROR(__xludf.DUMMYFUNCTION("""COMPUTED_VALUE"""),"examples/random/dense_300_2_9")</f>
        <v>examples/random/dense_300_2_9</v>
      </c>
      <c r="B354" s="4">
        <f>IFERROR(__xludf.DUMMYFUNCTION("""COMPUTED_VALUE"""),2141.0)</f>
        <v>2141</v>
      </c>
      <c r="C354" s="4">
        <f>IFERROR(__xludf.DUMMYFUNCTION("""COMPUTED_VALUE"""),60.0)</f>
        <v>60</v>
      </c>
      <c r="D354" s="4">
        <f>IFERROR(__xludf.DUMMYFUNCTION("""COMPUTED_VALUE"""),804.0)</f>
        <v>804</v>
      </c>
      <c r="E354" s="4">
        <f>IFERROR(__xludf.DUMMYFUNCTION("""COMPUTED_VALUE"""),7.0)</f>
        <v>7</v>
      </c>
      <c r="F354" s="4">
        <f>IFERROR(__xludf.DUMMYFUNCTION("""COMPUTED_VALUE"""),10.0)</f>
        <v>10</v>
      </c>
      <c r="G354" s="4">
        <f>IFERROR(__xludf.DUMMYFUNCTION("""COMPUTED_VALUE"""),2.0)</f>
        <v>2</v>
      </c>
      <c r="H354" s="4">
        <f>IFERROR(__xludf.DUMMYFUNCTION("""COMPUTED_VALUE"""),0.0)</f>
        <v>0</v>
      </c>
      <c r="I354" s="2" t="str">
        <f>IFERROR(__xludf.DUMMYFUNCTION("""COMPUTED_VALUE"""),"random")</f>
        <v>random</v>
      </c>
      <c r="J354" s="2">
        <f t="shared" si="2"/>
        <v>10</v>
      </c>
      <c r="K354" s="2">
        <f t="shared" si="3"/>
        <v>2000</v>
      </c>
      <c r="L354" s="2" t="str">
        <f t="shared" si="4"/>
        <v>P</v>
      </c>
    </row>
    <row r="355">
      <c r="A355" s="2" t="str">
        <f>IFERROR(__xludf.DUMMYFUNCTION("""COMPUTED_VALUE"""),"examples/random/sparse_1000_3_5")</f>
        <v>examples/random/sparse_1000_3_5</v>
      </c>
      <c r="B355" s="4">
        <f>IFERROR(__xludf.DUMMYFUNCTION("""COMPUTED_VALUE"""),4000.0)</f>
        <v>4000</v>
      </c>
      <c r="C355" s="4">
        <f>IFERROR(__xludf.DUMMYFUNCTION("""COMPUTED_VALUE"""),60.0)</f>
        <v>60</v>
      </c>
      <c r="D355" s="4">
        <f>IFERROR(__xludf.DUMMYFUNCTION("""COMPUTED_VALUE"""),13299.0)</f>
        <v>13299</v>
      </c>
      <c r="E355" s="4">
        <f>IFERROR(__xludf.DUMMYFUNCTION("""COMPUTED_VALUE"""),29.0)</f>
        <v>29</v>
      </c>
      <c r="F355" s="4">
        <f>IFERROR(__xludf.DUMMYFUNCTION("""COMPUTED_VALUE"""),53.0)</f>
        <v>53</v>
      </c>
      <c r="G355" s="4">
        <f>IFERROR(__xludf.DUMMYFUNCTION("""COMPUTED_VALUE"""),11.0)</f>
        <v>11</v>
      </c>
      <c r="H355" s="4">
        <f>IFERROR(__xludf.DUMMYFUNCTION("""COMPUTED_VALUE"""),2.0)</f>
        <v>2</v>
      </c>
      <c r="I355" s="2" t="str">
        <f>IFERROR(__xludf.DUMMYFUNCTION("""COMPUTED_VALUE"""),"random")</f>
        <v>random</v>
      </c>
      <c r="J355" s="2">
        <f t="shared" si="2"/>
        <v>11</v>
      </c>
      <c r="K355" s="2">
        <f t="shared" si="3"/>
        <v>5000</v>
      </c>
      <c r="L355" s="2" t="str">
        <f t="shared" si="4"/>
        <v>P</v>
      </c>
    </row>
    <row r="356">
      <c r="A356" s="2" t="str">
        <f>IFERROR(__xludf.DUMMYFUNCTION("""COMPUTED_VALUE"""),"examples/random/dense_1000_1_10")</f>
        <v>examples/random/dense_1000_1_10</v>
      </c>
      <c r="B356" s="4">
        <f>IFERROR(__xludf.DUMMYFUNCTION("""COMPUTED_VALUE"""),10948.0)</f>
        <v>10948</v>
      </c>
      <c r="C356" s="4">
        <f>IFERROR(__xludf.DUMMYFUNCTION("""COMPUTED_VALUE"""),60.0)</f>
        <v>60</v>
      </c>
      <c r="D356" s="4">
        <f>IFERROR(__xludf.DUMMYFUNCTION("""COMPUTED_VALUE"""),50914.0)</f>
        <v>50914</v>
      </c>
      <c r="E356" s="4">
        <f>IFERROR(__xludf.DUMMYFUNCTION("""COMPUTED_VALUE"""),144.0)</f>
        <v>144</v>
      </c>
      <c r="F356" s="4">
        <f>IFERROR(__xludf.DUMMYFUNCTION("""COMPUTED_VALUE"""),200.0)</f>
        <v>200</v>
      </c>
      <c r="G356" s="4">
        <f>IFERROR(__xludf.DUMMYFUNCTION("""COMPUTED_VALUE"""),8.0)</f>
        <v>8</v>
      </c>
      <c r="H356" s="4">
        <f>IFERROR(__xludf.DUMMYFUNCTION("""COMPUTED_VALUE"""),2.0)</f>
        <v>2</v>
      </c>
      <c r="I356" s="2" t="str">
        <f>IFERROR(__xludf.DUMMYFUNCTION("""COMPUTED_VALUE"""),"random")</f>
        <v>random</v>
      </c>
      <c r="J356" s="2">
        <f t="shared" si="2"/>
        <v>12</v>
      </c>
      <c r="K356" s="2">
        <f t="shared" si="3"/>
        <v>10000</v>
      </c>
      <c r="L356" s="2" t="str">
        <f t="shared" si="4"/>
        <v>P</v>
      </c>
    </row>
    <row r="357">
      <c r="A357" s="2" t="str">
        <f>IFERROR(__xludf.DUMMYFUNCTION("""COMPUTED_VALUE"""),"examples/random/sparse_3000_2_4")</f>
        <v>examples/random/sparse_3000_2_4</v>
      </c>
      <c r="B357" s="4">
        <f>IFERROR(__xludf.DUMMYFUNCTION("""COMPUTED_VALUE"""),9000.0)</f>
        <v>9000</v>
      </c>
      <c r="C357" s="4">
        <f>IFERROR(__xludf.DUMMYFUNCTION("""COMPUTED_VALUE"""),60.0)</f>
        <v>60</v>
      </c>
      <c r="D357" s="4">
        <f>IFERROR(__xludf.DUMMYFUNCTION("""COMPUTED_VALUE"""),60000.0)</f>
        <v>60000</v>
      </c>
      <c r="E357" s="4">
        <f>IFERROR(__xludf.DUMMYFUNCTION("""COMPUTED_VALUE"""),111.0)</f>
        <v>111</v>
      </c>
      <c r="F357" s="4">
        <f>IFERROR(__xludf.DUMMYFUNCTION("""COMPUTED_VALUE"""),220.0)</f>
        <v>220</v>
      </c>
      <c r="G357" s="4">
        <f>IFERROR(__xludf.DUMMYFUNCTION("""COMPUTED_VALUE"""),24.0)</f>
        <v>24</v>
      </c>
      <c r="H357" s="4">
        <f>IFERROR(__xludf.DUMMYFUNCTION("""COMPUTED_VALUE"""),5.0)</f>
        <v>5</v>
      </c>
      <c r="I357" s="2" t="str">
        <f>IFERROR(__xludf.DUMMYFUNCTION("""COMPUTED_VALUE"""),"random")</f>
        <v>random</v>
      </c>
      <c r="J357" s="2">
        <f t="shared" si="2"/>
        <v>12</v>
      </c>
      <c r="K357" s="2">
        <f t="shared" si="3"/>
        <v>10000</v>
      </c>
      <c r="L357" s="2" t="str">
        <f t="shared" si="4"/>
        <v>P</v>
      </c>
    </row>
    <row r="358">
      <c r="A358" s="2" t="str">
        <f>IFERROR(__xludf.DUMMYFUNCTION("""COMPUTED_VALUE"""),"examples/random/sparse_100000_3_1")</f>
        <v>examples/random/sparse_100000_3_1</v>
      </c>
      <c r="B358" s="4">
        <f>IFERROR(__xludf.DUMMYFUNCTION("""COMPUTED_VALUE"""),400000.0)</f>
        <v>400000</v>
      </c>
      <c r="C358" s="4">
        <f>IFERROR(__xludf.DUMMYFUNCTION("""COMPUTED_VALUE"""),60.0)</f>
        <v>60</v>
      </c>
      <c r="D358" s="4">
        <f>IFERROR(__xludf.DUMMYFUNCTION("""COMPUTED_VALUE"""),60000.0)</f>
        <v>60000</v>
      </c>
      <c r="E358" s="4">
        <f>IFERROR(__xludf.DUMMYFUNCTION("""COMPUTED_VALUE"""),60000.0)</f>
        <v>60000</v>
      </c>
      <c r="F358" s="4">
        <f>IFERROR(__xludf.DUMMYFUNCTION("""COMPUTED_VALUE"""),60000.0)</f>
        <v>60000</v>
      </c>
      <c r="G358" s="4">
        <f>IFERROR(__xludf.DUMMYFUNCTION("""COMPUTED_VALUE"""),1146.0)</f>
        <v>1146</v>
      </c>
      <c r="H358" s="4">
        <f>IFERROR(__xludf.DUMMYFUNCTION("""COMPUTED_VALUE"""),229.0)</f>
        <v>229</v>
      </c>
      <c r="I358" s="2" t="str">
        <f>IFERROR(__xludf.DUMMYFUNCTION("""COMPUTED_VALUE"""),"random")</f>
        <v>random</v>
      </c>
      <c r="J358" s="2">
        <f t="shared" si="2"/>
        <v>17</v>
      </c>
      <c r="K358" s="2">
        <f t="shared" si="3"/>
        <v>500000</v>
      </c>
      <c r="L358" s="2" t="str">
        <f t="shared" si="4"/>
        <v>P</v>
      </c>
    </row>
    <row r="359">
      <c r="A359" s="2" t="str">
        <f>IFERROR(__xludf.DUMMYFUNCTION("""COMPUTED_VALUE"""),"examples/random/sparse_10000_1_2")</f>
        <v>examples/random/sparse_10000_1_2</v>
      </c>
      <c r="B359" s="4">
        <f>IFERROR(__xludf.DUMMYFUNCTION("""COMPUTED_VALUE"""),20000.0)</f>
        <v>20000</v>
      </c>
      <c r="C359" s="4">
        <f>IFERROR(__xludf.DUMMYFUNCTION("""COMPUTED_VALUE"""),60.0)</f>
        <v>60</v>
      </c>
      <c r="D359" s="4">
        <f>IFERROR(__xludf.DUMMYFUNCTION("""COMPUTED_VALUE"""),17809.0)</f>
        <v>17809</v>
      </c>
      <c r="E359" s="4">
        <f>IFERROR(__xludf.DUMMYFUNCTION("""COMPUTED_VALUE"""),23.0)</f>
        <v>23</v>
      </c>
      <c r="F359" s="4">
        <f>IFERROR(__xludf.DUMMYFUNCTION("""COMPUTED_VALUE"""),20.0)</f>
        <v>20</v>
      </c>
      <c r="G359" s="4">
        <f>IFERROR(__xludf.DUMMYFUNCTION("""COMPUTED_VALUE"""),120.0)</f>
        <v>120</v>
      </c>
      <c r="H359" s="4">
        <f>IFERROR(__xludf.DUMMYFUNCTION("""COMPUTED_VALUE"""),15.0)</f>
        <v>15</v>
      </c>
      <c r="I359" s="2" t="str">
        <f>IFERROR(__xludf.DUMMYFUNCTION("""COMPUTED_VALUE"""),"random")</f>
        <v>random</v>
      </c>
      <c r="J359" s="2">
        <f t="shared" si="2"/>
        <v>13</v>
      </c>
      <c r="K359" s="2">
        <f t="shared" si="3"/>
        <v>20000</v>
      </c>
      <c r="L359" s="2" t="str">
        <f t="shared" si="4"/>
        <v>P</v>
      </c>
    </row>
    <row r="360">
      <c r="A360" s="2" t="str">
        <f>IFERROR(__xludf.DUMMYFUNCTION("""COMPUTED_VALUE"""),"examples/random/sparse_100_10_10")</f>
        <v>examples/random/sparse_100_10_10</v>
      </c>
      <c r="B360" s="4">
        <f>IFERROR(__xludf.DUMMYFUNCTION("""COMPUTED_VALUE"""),1100.0)</f>
        <v>1100</v>
      </c>
      <c r="C360" s="4">
        <f>IFERROR(__xludf.DUMMYFUNCTION("""COMPUTED_VALUE"""),60.0)</f>
        <v>60</v>
      </c>
      <c r="D360" s="4">
        <f>IFERROR(__xludf.DUMMYFUNCTION("""COMPUTED_VALUE"""),51.0)</f>
        <v>51</v>
      </c>
      <c r="E360" s="4">
        <f>IFERROR(__xludf.DUMMYFUNCTION("""COMPUTED_VALUE"""),1.0)</f>
        <v>1</v>
      </c>
      <c r="F360" s="4">
        <f>IFERROR(__xludf.DUMMYFUNCTION("""COMPUTED_VALUE"""),2.0)</f>
        <v>2</v>
      </c>
      <c r="G360" s="4">
        <f>IFERROR(__xludf.DUMMYFUNCTION("""COMPUTED_VALUE"""),0.0)</f>
        <v>0</v>
      </c>
      <c r="H360" s="4">
        <f>IFERROR(__xludf.DUMMYFUNCTION("""COMPUTED_VALUE"""),0.0)</f>
        <v>0</v>
      </c>
      <c r="I360" s="2" t="str">
        <f>IFERROR(__xludf.DUMMYFUNCTION("""COMPUTED_VALUE"""),"random")</f>
        <v>random</v>
      </c>
      <c r="J360" s="2">
        <f t="shared" si="2"/>
        <v>9</v>
      </c>
      <c r="K360" s="2">
        <f t="shared" si="3"/>
        <v>1000</v>
      </c>
      <c r="L360" s="2" t="str">
        <f t="shared" si="4"/>
        <v>JP</v>
      </c>
    </row>
    <row r="361">
      <c r="A361" s="2" t="str">
        <f>IFERROR(__xludf.DUMMYFUNCTION("""COMPUTED_VALUE"""),"examples/random/sparse_30000_1_6")</f>
        <v>examples/random/sparse_30000_1_6</v>
      </c>
      <c r="B361" s="4">
        <f>IFERROR(__xludf.DUMMYFUNCTION("""COMPUTED_VALUE"""),60000.0)</f>
        <v>60000</v>
      </c>
      <c r="C361" s="4">
        <f>IFERROR(__xludf.DUMMYFUNCTION("""COMPUTED_VALUE"""),60.0)</f>
        <v>60</v>
      </c>
      <c r="D361" s="4">
        <f>IFERROR(__xludf.DUMMYFUNCTION("""COMPUTED_VALUE"""),60000.0)</f>
        <v>60000</v>
      </c>
      <c r="E361" s="4">
        <f>IFERROR(__xludf.DUMMYFUNCTION("""COMPUTED_VALUE"""),85.0)</f>
        <v>85</v>
      </c>
      <c r="F361" s="4">
        <f>IFERROR(__xludf.DUMMYFUNCTION("""COMPUTED_VALUE"""),70.0)</f>
        <v>70</v>
      </c>
      <c r="G361" s="4">
        <f>IFERROR(__xludf.DUMMYFUNCTION("""COMPUTED_VALUE"""),411.0)</f>
        <v>411</v>
      </c>
      <c r="H361" s="4">
        <f>IFERROR(__xludf.DUMMYFUNCTION("""COMPUTED_VALUE"""),53.0)</f>
        <v>53</v>
      </c>
      <c r="I361" s="2" t="str">
        <f>IFERROR(__xludf.DUMMYFUNCTION("""COMPUTED_VALUE"""),"random")</f>
        <v>random</v>
      </c>
      <c r="J361" s="2">
        <f t="shared" si="2"/>
        <v>14</v>
      </c>
      <c r="K361" s="2">
        <f t="shared" si="3"/>
        <v>50000</v>
      </c>
      <c r="L361" s="2" t="str">
        <f t="shared" si="4"/>
        <v>P</v>
      </c>
    </row>
    <row r="362">
      <c r="A362" s="2" t="str">
        <f>IFERROR(__xludf.DUMMYFUNCTION("""COMPUTED_VALUE"""),"examples/random/sparse_10000_10_3")</f>
        <v>examples/random/sparse_10000_10_3</v>
      </c>
      <c r="B362" s="4">
        <f>IFERROR(__xludf.DUMMYFUNCTION("""COMPUTED_VALUE"""),110000.0)</f>
        <v>110000</v>
      </c>
      <c r="C362" s="4">
        <f>IFERROR(__xludf.DUMMYFUNCTION("""COMPUTED_VALUE"""),60.0)</f>
        <v>60</v>
      </c>
      <c r="D362" s="4">
        <f>IFERROR(__xludf.DUMMYFUNCTION("""COMPUTED_VALUE"""),60000.0)</f>
        <v>60000</v>
      </c>
      <c r="E362" s="4">
        <f>IFERROR(__xludf.DUMMYFUNCTION("""COMPUTED_VALUE"""),15891.0)</f>
        <v>15891</v>
      </c>
      <c r="F362" s="4">
        <f>IFERROR(__xludf.DUMMYFUNCTION("""COMPUTED_VALUE"""),23212.0)</f>
        <v>23212</v>
      </c>
      <c r="G362" s="4">
        <f>IFERROR(__xludf.DUMMYFUNCTION("""COMPUTED_VALUE"""),118.0)</f>
        <v>118</v>
      </c>
      <c r="H362" s="4">
        <f>IFERROR(__xludf.DUMMYFUNCTION("""COMPUTED_VALUE"""),39.0)</f>
        <v>39</v>
      </c>
      <c r="I362" s="2" t="str">
        <f>IFERROR(__xludf.DUMMYFUNCTION("""COMPUTED_VALUE"""),"random")</f>
        <v>random</v>
      </c>
      <c r="J362" s="2">
        <f t="shared" si="2"/>
        <v>15</v>
      </c>
      <c r="K362" s="2">
        <f t="shared" si="3"/>
        <v>100000</v>
      </c>
      <c r="L362" s="2" t="str">
        <f t="shared" si="4"/>
        <v>P</v>
      </c>
    </row>
    <row r="363">
      <c r="A363" s="2" t="str">
        <f>IFERROR(__xludf.DUMMYFUNCTION("""COMPUTED_VALUE"""),"examples/random/sparse_300_2_1")</f>
        <v>examples/random/sparse_300_2_1</v>
      </c>
      <c r="B363" s="4">
        <f>IFERROR(__xludf.DUMMYFUNCTION("""COMPUTED_VALUE"""),900.0)</f>
        <v>900</v>
      </c>
      <c r="C363" s="4">
        <f>IFERROR(__xludf.DUMMYFUNCTION("""COMPUTED_VALUE"""),60.0)</f>
        <v>60</v>
      </c>
      <c r="D363" s="4">
        <f>IFERROR(__xludf.DUMMYFUNCTION("""COMPUTED_VALUE"""),164.0)</f>
        <v>164</v>
      </c>
      <c r="E363" s="4">
        <f>IFERROR(__xludf.DUMMYFUNCTION("""COMPUTED_VALUE"""),1.0)</f>
        <v>1</v>
      </c>
      <c r="F363" s="4">
        <f>IFERROR(__xludf.DUMMYFUNCTION("""COMPUTED_VALUE"""),2.0)</f>
        <v>2</v>
      </c>
      <c r="G363" s="4">
        <f>IFERROR(__xludf.DUMMYFUNCTION("""COMPUTED_VALUE"""),2.0)</f>
        <v>2</v>
      </c>
      <c r="H363" s="4">
        <f>IFERROR(__xludf.DUMMYFUNCTION("""COMPUTED_VALUE"""),0.0)</f>
        <v>0</v>
      </c>
      <c r="I363" s="2" t="str">
        <f>IFERROR(__xludf.DUMMYFUNCTION("""COMPUTED_VALUE"""),"random")</f>
        <v>random</v>
      </c>
      <c r="J363" s="2">
        <f t="shared" si="2"/>
        <v>9</v>
      </c>
      <c r="K363" s="2">
        <f t="shared" si="3"/>
        <v>1000</v>
      </c>
      <c r="L363" s="2" t="str">
        <f t="shared" si="4"/>
        <v>P</v>
      </c>
    </row>
    <row r="364">
      <c r="A364" s="2" t="str">
        <f>IFERROR(__xludf.DUMMYFUNCTION("""COMPUTED_VALUE"""),"examples/random/sparse_30000_10_4")</f>
        <v>examples/random/sparse_30000_10_4</v>
      </c>
      <c r="B364" s="4">
        <f>IFERROR(__xludf.DUMMYFUNCTION("""COMPUTED_VALUE"""),330000.0)</f>
        <v>330000</v>
      </c>
      <c r="C364" s="4">
        <f>IFERROR(__xludf.DUMMYFUNCTION("""COMPUTED_VALUE"""),60.0)</f>
        <v>60</v>
      </c>
      <c r="D364" s="4">
        <f>IFERROR(__xludf.DUMMYFUNCTION("""COMPUTED_VALUE"""),60000.0)</f>
        <v>60000</v>
      </c>
      <c r="E364" s="4">
        <f>IFERROR(__xludf.DUMMYFUNCTION("""COMPUTED_VALUE"""),60000.0)</f>
        <v>60000</v>
      </c>
      <c r="F364" s="4">
        <f>IFERROR(__xludf.DUMMYFUNCTION("""COMPUTED_VALUE"""),60000.0)</f>
        <v>60000</v>
      </c>
      <c r="G364" s="4">
        <f>IFERROR(__xludf.DUMMYFUNCTION("""COMPUTED_VALUE"""),395.0)</f>
        <v>395</v>
      </c>
      <c r="H364" s="4">
        <f>IFERROR(__xludf.DUMMYFUNCTION("""COMPUTED_VALUE"""),129.0)</f>
        <v>129</v>
      </c>
      <c r="I364" s="2" t="str">
        <f>IFERROR(__xludf.DUMMYFUNCTION("""COMPUTED_VALUE"""),"random")</f>
        <v>random</v>
      </c>
      <c r="J364" s="2">
        <f t="shared" si="2"/>
        <v>17</v>
      </c>
      <c r="K364" s="2">
        <f t="shared" si="3"/>
        <v>500000</v>
      </c>
      <c r="L364" s="2" t="str">
        <f t="shared" si="4"/>
        <v>P</v>
      </c>
    </row>
    <row r="365">
      <c r="A365" s="2" t="str">
        <f>IFERROR(__xludf.DUMMYFUNCTION("""COMPUTED_VALUE"""),"examples/random/sparse_100_10_7")</f>
        <v>examples/random/sparse_100_10_7</v>
      </c>
      <c r="B365" s="4">
        <f>IFERROR(__xludf.DUMMYFUNCTION("""COMPUTED_VALUE"""),1100.0)</f>
        <v>1100</v>
      </c>
      <c r="C365" s="4">
        <f>IFERROR(__xludf.DUMMYFUNCTION("""COMPUTED_VALUE"""),60.0)</f>
        <v>60</v>
      </c>
      <c r="D365" s="4">
        <f>IFERROR(__xludf.DUMMYFUNCTION("""COMPUTED_VALUE"""),51.0)</f>
        <v>51</v>
      </c>
      <c r="E365" s="4">
        <f>IFERROR(__xludf.DUMMYFUNCTION("""COMPUTED_VALUE"""),1.0)</f>
        <v>1</v>
      </c>
      <c r="F365" s="4">
        <f>IFERROR(__xludf.DUMMYFUNCTION("""COMPUTED_VALUE"""),2.0)</f>
        <v>2</v>
      </c>
      <c r="G365" s="4">
        <f>IFERROR(__xludf.DUMMYFUNCTION("""COMPUTED_VALUE"""),1.0)</f>
        <v>1</v>
      </c>
      <c r="H365" s="4">
        <f>IFERROR(__xludf.DUMMYFUNCTION("""COMPUTED_VALUE"""),0.0)</f>
        <v>0</v>
      </c>
      <c r="I365" s="2" t="str">
        <f>IFERROR(__xludf.DUMMYFUNCTION("""COMPUTED_VALUE"""),"random")</f>
        <v>random</v>
      </c>
      <c r="J365" s="2">
        <f t="shared" si="2"/>
        <v>9</v>
      </c>
      <c r="K365" s="2">
        <f t="shared" si="3"/>
        <v>1000</v>
      </c>
      <c r="L365" s="2" t="str">
        <f t="shared" si="4"/>
        <v>P</v>
      </c>
    </row>
    <row r="366">
      <c r="A366" s="2" t="str">
        <f>IFERROR(__xludf.DUMMYFUNCTION("""COMPUTED_VALUE"""),"examples/random/sparse_30000_3_8")</f>
        <v>examples/random/sparse_30000_3_8</v>
      </c>
      <c r="B366" s="4">
        <f>IFERROR(__xludf.DUMMYFUNCTION("""COMPUTED_VALUE"""),120000.0)</f>
        <v>120000</v>
      </c>
      <c r="C366" s="4">
        <f>IFERROR(__xludf.DUMMYFUNCTION("""COMPUTED_VALUE"""),60.0)</f>
        <v>60</v>
      </c>
      <c r="D366" s="4">
        <f>IFERROR(__xludf.DUMMYFUNCTION("""COMPUTED_VALUE"""),60000.0)</f>
        <v>60000</v>
      </c>
      <c r="E366" s="4">
        <f>IFERROR(__xludf.DUMMYFUNCTION("""COMPUTED_VALUE"""),31960.0)</f>
        <v>31960</v>
      </c>
      <c r="F366" s="4">
        <f>IFERROR(__xludf.DUMMYFUNCTION("""COMPUTED_VALUE"""),56026.0)</f>
        <v>56026</v>
      </c>
      <c r="G366" s="4">
        <f>IFERROR(__xludf.DUMMYFUNCTION("""COMPUTED_VALUE"""),290.0)</f>
        <v>290</v>
      </c>
      <c r="H366" s="4">
        <f>IFERROR(__xludf.DUMMYFUNCTION("""COMPUTED_VALUE"""),65.0)</f>
        <v>65</v>
      </c>
      <c r="I366" s="2" t="str">
        <f>IFERROR(__xludf.DUMMYFUNCTION("""COMPUTED_VALUE"""),"random")</f>
        <v>random</v>
      </c>
      <c r="J366" s="2">
        <f t="shared" si="2"/>
        <v>15</v>
      </c>
      <c r="K366" s="2">
        <f t="shared" si="3"/>
        <v>100000</v>
      </c>
      <c r="L366" s="2" t="str">
        <f t="shared" si="4"/>
        <v>P</v>
      </c>
    </row>
    <row r="367">
      <c r="A367" s="2" t="str">
        <f>IFERROR(__xludf.DUMMYFUNCTION("""COMPUTED_VALUE"""),"examples/random/sparse_30000_2_2")</f>
        <v>examples/random/sparse_30000_2_2</v>
      </c>
      <c r="B367" s="4">
        <f>IFERROR(__xludf.DUMMYFUNCTION("""COMPUTED_VALUE"""),90000.0)</f>
        <v>90000</v>
      </c>
      <c r="C367" s="4">
        <f>IFERROR(__xludf.DUMMYFUNCTION("""COMPUTED_VALUE"""),60.0)</f>
        <v>60</v>
      </c>
      <c r="D367" s="4">
        <f>IFERROR(__xludf.DUMMYFUNCTION("""COMPUTED_VALUE"""),60000.0)</f>
        <v>60000</v>
      </c>
      <c r="E367" s="4">
        <f>IFERROR(__xludf.DUMMYFUNCTION("""COMPUTED_VALUE"""),13591.0)</f>
        <v>13591</v>
      </c>
      <c r="F367" s="4">
        <f>IFERROR(__xludf.DUMMYFUNCTION("""COMPUTED_VALUE"""),24551.0)</f>
        <v>24551</v>
      </c>
      <c r="G367" s="4">
        <f>IFERROR(__xludf.DUMMYFUNCTION("""COMPUTED_VALUE"""),272.0)</f>
        <v>272</v>
      </c>
      <c r="H367" s="4">
        <f>IFERROR(__xludf.DUMMYFUNCTION("""COMPUTED_VALUE"""),53.0)</f>
        <v>53</v>
      </c>
      <c r="I367" s="2" t="str">
        <f>IFERROR(__xludf.DUMMYFUNCTION("""COMPUTED_VALUE"""),"random")</f>
        <v>random</v>
      </c>
      <c r="J367" s="2">
        <f t="shared" si="2"/>
        <v>15</v>
      </c>
      <c r="K367" s="2">
        <f t="shared" si="3"/>
        <v>100000</v>
      </c>
      <c r="L367" s="2" t="str">
        <f t="shared" si="4"/>
        <v>P</v>
      </c>
    </row>
    <row r="368">
      <c r="A368" s="2" t="str">
        <f>IFERROR(__xludf.DUMMYFUNCTION("""COMPUTED_VALUE"""),"examples/random/dense_3000_2_4")</f>
        <v>examples/random/dense_3000_2_4</v>
      </c>
      <c r="B368" s="4">
        <f>IFERROR(__xludf.DUMMYFUNCTION("""COMPUTED_VALUE"""),182624.0)</f>
        <v>182624</v>
      </c>
      <c r="C368" s="4">
        <f>IFERROR(__xludf.DUMMYFUNCTION("""COMPUTED_VALUE"""),60.0)</f>
        <v>60</v>
      </c>
      <c r="D368" s="4">
        <f>IFERROR(__xludf.DUMMYFUNCTION("""COMPUTED_VALUE"""),60000.0)</f>
        <v>60000</v>
      </c>
      <c r="E368" s="4">
        <f>IFERROR(__xludf.DUMMYFUNCTION("""COMPUTED_VALUE"""),8687.0)</f>
        <v>8687</v>
      </c>
      <c r="F368" s="4">
        <f>IFERROR(__xludf.DUMMYFUNCTION("""COMPUTED_VALUE"""),18336.0)</f>
        <v>18336</v>
      </c>
      <c r="G368" s="4">
        <f>IFERROR(__xludf.DUMMYFUNCTION("""COMPUTED_VALUE"""),70.0)</f>
        <v>70</v>
      </c>
      <c r="H368" s="4">
        <f>IFERROR(__xludf.DUMMYFUNCTION("""COMPUTED_VALUE"""),40.0)</f>
        <v>40</v>
      </c>
      <c r="I368" s="2" t="str">
        <f>IFERROR(__xludf.DUMMYFUNCTION("""COMPUTED_VALUE"""),"random")</f>
        <v>random</v>
      </c>
      <c r="J368" s="2">
        <f t="shared" si="2"/>
        <v>16</v>
      </c>
      <c r="K368" s="2">
        <f t="shared" si="3"/>
        <v>200000</v>
      </c>
      <c r="L368" s="2" t="str">
        <f t="shared" si="4"/>
        <v>P</v>
      </c>
    </row>
    <row r="369">
      <c r="A369" s="2" t="str">
        <f>IFERROR(__xludf.DUMMYFUNCTION("""COMPUTED_VALUE"""),"examples/random/sparse_100000_10_9")</f>
        <v>examples/random/sparse_100000_10_9</v>
      </c>
      <c r="B369" s="4">
        <f>IFERROR(__xludf.DUMMYFUNCTION("""COMPUTED_VALUE"""),1100000.0)</f>
        <v>1100000</v>
      </c>
      <c r="C369" s="4">
        <f>IFERROR(__xludf.DUMMYFUNCTION("""COMPUTED_VALUE"""),60.0)</f>
        <v>60</v>
      </c>
      <c r="D369" s="4">
        <f>IFERROR(__xludf.DUMMYFUNCTION("""COMPUTED_VALUE"""),60000.0)</f>
        <v>60000</v>
      </c>
      <c r="E369" s="4">
        <f>IFERROR(__xludf.DUMMYFUNCTION("""COMPUTED_VALUE"""),60000.0)</f>
        <v>60000</v>
      </c>
      <c r="F369" s="4">
        <f>IFERROR(__xludf.DUMMYFUNCTION("""COMPUTED_VALUE"""),60000.0)</f>
        <v>60000</v>
      </c>
      <c r="G369" s="4">
        <f>IFERROR(__xludf.DUMMYFUNCTION("""COMPUTED_VALUE"""),1602.0)</f>
        <v>1602</v>
      </c>
      <c r="H369" s="4">
        <f>IFERROR(__xludf.DUMMYFUNCTION("""COMPUTED_VALUE"""),512.0)</f>
        <v>512</v>
      </c>
      <c r="I369" s="2" t="str">
        <f>IFERROR(__xludf.DUMMYFUNCTION("""COMPUTED_VALUE"""),"random")</f>
        <v>random</v>
      </c>
      <c r="J369" s="2">
        <f t="shared" si="2"/>
        <v>18</v>
      </c>
      <c r="K369" s="2">
        <f t="shared" si="3"/>
        <v>1000000</v>
      </c>
      <c r="L369" s="2" t="str">
        <f t="shared" si="4"/>
        <v>P</v>
      </c>
    </row>
    <row r="370">
      <c r="A370" s="2" t="str">
        <f>IFERROR(__xludf.DUMMYFUNCTION("""COMPUTED_VALUE"""),"examples/random/sparse_300_1_5")</f>
        <v>examples/random/sparse_300_1_5</v>
      </c>
      <c r="B370" s="4">
        <f>IFERROR(__xludf.DUMMYFUNCTION("""COMPUTED_VALUE"""),600.0)</f>
        <v>600</v>
      </c>
      <c r="C370" s="4">
        <f>IFERROR(__xludf.DUMMYFUNCTION("""COMPUTED_VALUE"""),60.0)</f>
        <v>60</v>
      </c>
      <c r="D370" s="4">
        <f>IFERROR(__xludf.DUMMYFUNCTION("""COMPUTED_VALUE"""),14.0)</f>
        <v>14</v>
      </c>
      <c r="E370" s="4">
        <f>IFERROR(__xludf.DUMMYFUNCTION("""COMPUTED_VALUE"""),0.0)</f>
        <v>0</v>
      </c>
      <c r="F370" s="4">
        <f>IFERROR(__xludf.DUMMYFUNCTION("""COMPUTED_VALUE"""),0.0)</f>
        <v>0</v>
      </c>
      <c r="G370" s="4">
        <f>IFERROR(__xludf.DUMMYFUNCTION("""COMPUTED_VALUE"""),3.0)</f>
        <v>3</v>
      </c>
      <c r="H370" s="4">
        <f>IFERROR(__xludf.DUMMYFUNCTION("""COMPUTED_VALUE"""),0.0)</f>
        <v>0</v>
      </c>
      <c r="I370" s="2" t="str">
        <f>IFERROR(__xludf.DUMMYFUNCTION("""COMPUTED_VALUE"""),"random")</f>
        <v>random</v>
      </c>
      <c r="J370" s="2">
        <f t="shared" si="2"/>
        <v>8</v>
      </c>
      <c r="K370" s="2">
        <f t="shared" si="3"/>
        <v>500</v>
      </c>
      <c r="L370" s="2" t="str">
        <f t="shared" si="4"/>
        <v>BP</v>
      </c>
    </row>
    <row r="371">
      <c r="A371" s="2" t="str">
        <f>IFERROR(__xludf.DUMMYFUNCTION("""COMPUTED_VALUE"""),"examples/random/dense_1000_3_5")</f>
        <v>examples/random/dense_1000_3_5</v>
      </c>
      <c r="B371" s="4">
        <f>IFERROR(__xludf.DUMMYFUNCTION("""COMPUTED_VALUE"""),31046.0)</f>
        <v>31046</v>
      </c>
      <c r="C371" s="4">
        <f>IFERROR(__xludf.DUMMYFUNCTION("""COMPUTED_VALUE"""),60.0)</f>
        <v>60</v>
      </c>
      <c r="D371" s="4">
        <f>IFERROR(__xludf.DUMMYFUNCTION("""COMPUTED_VALUE"""),60000.0)</f>
        <v>60000</v>
      </c>
      <c r="E371" s="4">
        <f>IFERROR(__xludf.DUMMYFUNCTION("""COMPUTED_VALUE"""),446.0)</f>
        <v>446</v>
      </c>
      <c r="F371" s="4">
        <f>IFERROR(__xludf.DUMMYFUNCTION("""COMPUTED_VALUE"""),682.0)</f>
        <v>682</v>
      </c>
      <c r="G371" s="4">
        <f>IFERROR(__xludf.DUMMYFUNCTION("""COMPUTED_VALUE"""),14.0)</f>
        <v>14</v>
      </c>
      <c r="H371" s="4">
        <f>IFERROR(__xludf.DUMMYFUNCTION("""COMPUTED_VALUE"""),6.0)</f>
        <v>6</v>
      </c>
      <c r="I371" s="2" t="str">
        <f>IFERROR(__xludf.DUMMYFUNCTION("""COMPUTED_VALUE"""),"random")</f>
        <v>random</v>
      </c>
      <c r="J371" s="2">
        <f t="shared" si="2"/>
        <v>13</v>
      </c>
      <c r="K371" s="2">
        <f t="shared" si="3"/>
        <v>20000</v>
      </c>
      <c r="L371" s="2" t="str">
        <f t="shared" si="4"/>
        <v>P</v>
      </c>
    </row>
    <row r="372">
      <c r="A372" s="2" t="str">
        <f>IFERROR(__xludf.DUMMYFUNCTION("""COMPUTED_VALUE"""),"examples/random/sparse_100000_3_10")</f>
        <v>examples/random/sparse_100000_3_10</v>
      </c>
      <c r="B372" s="4">
        <f>IFERROR(__xludf.DUMMYFUNCTION("""COMPUTED_VALUE"""),400000.0)</f>
        <v>400000</v>
      </c>
      <c r="C372" s="4">
        <f>IFERROR(__xludf.DUMMYFUNCTION("""COMPUTED_VALUE"""),60.0)</f>
        <v>60</v>
      </c>
      <c r="D372" s="4">
        <f>IFERROR(__xludf.DUMMYFUNCTION("""COMPUTED_VALUE"""),60000.0)</f>
        <v>60000</v>
      </c>
      <c r="E372" s="4">
        <f>IFERROR(__xludf.DUMMYFUNCTION("""COMPUTED_VALUE"""),60000.0)</f>
        <v>60000</v>
      </c>
      <c r="F372" s="4">
        <f>IFERROR(__xludf.DUMMYFUNCTION("""COMPUTED_VALUE"""),60000.0)</f>
        <v>60000</v>
      </c>
      <c r="G372" s="4">
        <f>IFERROR(__xludf.DUMMYFUNCTION("""COMPUTED_VALUE"""),1276.0)</f>
        <v>1276</v>
      </c>
      <c r="H372" s="4">
        <f>IFERROR(__xludf.DUMMYFUNCTION("""COMPUTED_VALUE"""),287.0)</f>
        <v>287</v>
      </c>
      <c r="I372" s="2" t="str">
        <f>IFERROR(__xludf.DUMMYFUNCTION("""COMPUTED_VALUE"""),"random")</f>
        <v>random</v>
      </c>
      <c r="J372" s="2">
        <f t="shared" si="2"/>
        <v>17</v>
      </c>
      <c r="K372" s="2">
        <f t="shared" si="3"/>
        <v>500000</v>
      </c>
      <c r="L372" s="2" t="str">
        <f t="shared" si="4"/>
        <v>P</v>
      </c>
    </row>
    <row r="373">
      <c r="A373" s="2" t="str">
        <f>IFERROR(__xludf.DUMMYFUNCTION("""COMPUTED_VALUE"""),"examples/random/sparse_10000_2_6")</f>
        <v>examples/random/sparse_10000_2_6</v>
      </c>
      <c r="B373" s="4">
        <f>IFERROR(__xludf.DUMMYFUNCTION("""COMPUTED_VALUE"""),30000.0)</f>
        <v>30000</v>
      </c>
      <c r="C373" s="4">
        <f>IFERROR(__xludf.DUMMYFUNCTION("""COMPUTED_VALUE"""),60.0)</f>
        <v>60</v>
      </c>
      <c r="D373" s="4">
        <f>IFERROR(__xludf.DUMMYFUNCTION("""COMPUTED_VALUE"""),60000.0)</f>
        <v>60000</v>
      </c>
      <c r="E373" s="4">
        <f>IFERROR(__xludf.DUMMYFUNCTION("""COMPUTED_VALUE"""),1412.0)</f>
        <v>1412</v>
      </c>
      <c r="F373" s="4">
        <f>IFERROR(__xludf.DUMMYFUNCTION("""COMPUTED_VALUE"""),2481.0)</f>
        <v>2481</v>
      </c>
      <c r="G373" s="4">
        <f>IFERROR(__xludf.DUMMYFUNCTION("""COMPUTED_VALUE"""),84.0)</f>
        <v>84</v>
      </c>
      <c r="H373" s="4">
        <f>IFERROR(__xludf.DUMMYFUNCTION("""COMPUTED_VALUE"""),17.0)</f>
        <v>17</v>
      </c>
      <c r="I373" s="2" t="str">
        <f>IFERROR(__xludf.DUMMYFUNCTION("""COMPUTED_VALUE"""),"random")</f>
        <v>random</v>
      </c>
      <c r="J373" s="2">
        <f t="shared" si="2"/>
        <v>13</v>
      </c>
      <c r="K373" s="2">
        <f t="shared" si="3"/>
        <v>20000</v>
      </c>
      <c r="L373" s="2" t="str">
        <f t="shared" si="4"/>
        <v>P</v>
      </c>
    </row>
    <row r="374">
      <c r="A374" s="2" t="str">
        <f>IFERROR(__xludf.DUMMYFUNCTION("""COMPUTED_VALUE"""),"examples/random/sparse_100_3_6")</f>
        <v>examples/random/sparse_100_3_6</v>
      </c>
      <c r="B374" s="4">
        <f>IFERROR(__xludf.DUMMYFUNCTION("""COMPUTED_VALUE"""),400.0)</f>
        <v>400</v>
      </c>
      <c r="C374" s="4">
        <f>IFERROR(__xludf.DUMMYFUNCTION("""COMPUTED_VALUE"""),60.0)</f>
        <v>60</v>
      </c>
      <c r="D374" s="4">
        <f>IFERROR(__xludf.DUMMYFUNCTION("""COMPUTED_VALUE"""),15.0)</f>
        <v>15</v>
      </c>
      <c r="E374" s="4">
        <f>IFERROR(__xludf.DUMMYFUNCTION("""COMPUTED_VALUE"""),0.0)</f>
        <v>0</v>
      </c>
      <c r="F374" s="4">
        <f>IFERROR(__xludf.DUMMYFUNCTION("""COMPUTED_VALUE"""),0.0)</f>
        <v>0</v>
      </c>
      <c r="G374" s="4">
        <f>IFERROR(__xludf.DUMMYFUNCTION("""COMPUTED_VALUE"""),0.0)</f>
        <v>0</v>
      </c>
      <c r="H374" s="4">
        <f>IFERROR(__xludf.DUMMYFUNCTION("""COMPUTED_VALUE"""),0.0)</f>
        <v>0</v>
      </c>
      <c r="I374" s="2" t="str">
        <f>IFERROR(__xludf.DUMMYFUNCTION("""COMPUTED_VALUE"""),"random")</f>
        <v>random</v>
      </c>
      <c r="J374" s="2">
        <f t="shared" si="2"/>
        <v>8</v>
      </c>
      <c r="K374" s="2">
        <f t="shared" si="3"/>
        <v>500</v>
      </c>
      <c r="L374" s="2">
        <f t="shared" si="4"/>
        <v>0</v>
      </c>
    </row>
    <row r="375">
      <c r="A375" s="2" t="str">
        <f>IFERROR(__xludf.DUMMYFUNCTION("""COMPUTED_VALUE"""),"examples/random/dense_100_3_5")</f>
        <v>examples/random/dense_100_3_5</v>
      </c>
      <c r="B375" s="4">
        <f>IFERROR(__xludf.DUMMYFUNCTION("""COMPUTED_VALUE"""),403.0)</f>
        <v>403</v>
      </c>
      <c r="C375" s="4">
        <f>IFERROR(__xludf.DUMMYFUNCTION("""COMPUTED_VALUE"""),60.0)</f>
        <v>60</v>
      </c>
      <c r="D375" s="4">
        <f>IFERROR(__xludf.DUMMYFUNCTION("""COMPUTED_VALUE"""),11.0)</f>
        <v>11</v>
      </c>
      <c r="E375" s="4">
        <f>IFERROR(__xludf.DUMMYFUNCTION("""COMPUTED_VALUE"""),0.0)</f>
        <v>0</v>
      </c>
      <c r="F375" s="4">
        <f>IFERROR(__xludf.DUMMYFUNCTION("""COMPUTED_VALUE"""),0.0)</f>
        <v>0</v>
      </c>
      <c r="G375" s="4">
        <f>IFERROR(__xludf.DUMMYFUNCTION("""COMPUTED_VALUE"""),0.0)</f>
        <v>0</v>
      </c>
      <c r="H375" s="4">
        <f>IFERROR(__xludf.DUMMYFUNCTION("""COMPUTED_VALUE"""),0.0)</f>
        <v>0</v>
      </c>
      <c r="I375" s="2" t="str">
        <f>IFERROR(__xludf.DUMMYFUNCTION("""COMPUTED_VALUE"""),"random")</f>
        <v>random</v>
      </c>
      <c r="J375" s="2">
        <f t="shared" si="2"/>
        <v>8</v>
      </c>
      <c r="K375" s="2">
        <f t="shared" si="3"/>
        <v>500</v>
      </c>
      <c r="L375" s="2">
        <f t="shared" si="4"/>
        <v>0</v>
      </c>
    </row>
    <row r="376">
      <c r="A376" s="2" t="str">
        <f>IFERROR(__xludf.DUMMYFUNCTION("""COMPUTED_VALUE"""),"examples/random/sparse_30000_2_10")</f>
        <v>examples/random/sparse_30000_2_10</v>
      </c>
      <c r="B376" s="4">
        <f>IFERROR(__xludf.DUMMYFUNCTION("""COMPUTED_VALUE"""),90000.0)</f>
        <v>90000</v>
      </c>
      <c r="C376" s="4">
        <f>IFERROR(__xludf.DUMMYFUNCTION("""COMPUTED_VALUE"""),60.0)</f>
        <v>60</v>
      </c>
      <c r="D376" s="4">
        <f>IFERROR(__xludf.DUMMYFUNCTION("""COMPUTED_VALUE"""),60000.0)</f>
        <v>60000</v>
      </c>
      <c r="E376" s="4">
        <f>IFERROR(__xludf.DUMMYFUNCTION("""COMPUTED_VALUE"""),13479.0)</f>
        <v>13479</v>
      </c>
      <c r="F376" s="4">
        <f>IFERROR(__xludf.DUMMYFUNCTION("""COMPUTED_VALUE"""),24961.0)</f>
        <v>24961</v>
      </c>
      <c r="G376" s="4">
        <f>IFERROR(__xludf.DUMMYFUNCTION("""COMPUTED_VALUE"""),290.0)</f>
        <v>290</v>
      </c>
      <c r="H376" s="4">
        <f>IFERROR(__xludf.DUMMYFUNCTION("""COMPUTED_VALUE"""),61.0)</f>
        <v>61</v>
      </c>
      <c r="I376" s="2" t="str">
        <f>IFERROR(__xludf.DUMMYFUNCTION("""COMPUTED_VALUE"""),"random")</f>
        <v>random</v>
      </c>
      <c r="J376" s="2">
        <f t="shared" si="2"/>
        <v>15</v>
      </c>
      <c r="K376" s="2">
        <f t="shared" si="3"/>
        <v>100000</v>
      </c>
      <c r="L376" s="2" t="str">
        <f t="shared" si="4"/>
        <v>P</v>
      </c>
    </row>
    <row r="377">
      <c r="A377" s="2" t="str">
        <f>IFERROR(__xludf.DUMMYFUNCTION("""COMPUTED_VALUE"""),"examples/random/dense_10000_1_10")</f>
        <v>examples/random/dense_10000_1_10</v>
      </c>
      <c r="B377" s="4">
        <f>IFERROR(__xludf.DUMMYFUNCTION("""COMPUTED_VALUE"""),1009608.0)</f>
        <v>1009608</v>
      </c>
      <c r="C377" s="4">
        <f>IFERROR(__xludf.DUMMYFUNCTION("""COMPUTED_VALUE"""),60.0)</f>
        <v>60</v>
      </c>
      <c r="D377" s="4">
        <f>IFERROR(__xludf.DUMMYFUNCTION("""COMPUTED_VALUE"""),60000.0)</f>
        <v>60000</v>
      </c>
      <c r="E377" s="4">
        <f>IFERROR(__xludf.DUMMYFUNCTION("""COMPUTED_VALUE"""),60000.0)</f>
        <v>60000</v>
      </c>
      <c r="F377" s="4">
        <f>IFERROR(__xludf.DUMMYFUNCTION("""COMPUTED_VALUE"""),60000.0)</f>
        <v>60000</v>
      </c>
      <c r="G377" s="4">
        <f>IFERROR(__xludf.DUMMYFUNCTION("""COMPUTED_VALUE"""),410.0)</f>
        <v>410</v>
      </c>
      <c r="H377" s="4">
        <f>IFERROR(__xludf.DUMMYFUNCTION("""COMPUTED_VALUE"""),227.0)</f>
        <v>227</v>
      </c>
      <c r="I377" s="2" t="str">
        <f>IFERROR(__xludf.DUMMYFUNCTION("""COMPUTED_VALUE"""),"random")</f>
        <v>random</v>
      </c>
      <c r="J377" s="2">
        <f t="shared" si="2"/>
        <v>18</v>
      </c>
      <c r="K377" s="2">
        <f t="shared" si="3"/>
        <v>1000000</v>
      </c>
      <c r="L377" s="2" t="str">
        <f t="shared" si="4"/>
        <v>P</v>
      </c>
    </row>
    <row r="378">
      <c r="A378" s="2" t="str">
        <f>IFERROR(__xludf.DUMMYFUNCTION("""COMPUTED_VALUE"""),"examples/random/dense_10000_1_4")</f>
        <v>examples/random/dense_10000_1_4</v>
      </c>
      <c r="B378" s="4">
        <f>IFERROR(__xludf.DUMMYFUNCTION("""COMPUTED_VALUE"""),1008870.0)</f>
        <v>1008870</v>
      </c>
      <c r="C378" s="4">
        <f>IFERROR(__xludf.DUMMYFUNCTION("""COMPUTED_VALUE"""),60.0)</f>
        <v>60</v>
      </c>
      <c r="D378" s="4">
        <f>IFERROR(__xludf.DUMMYFUNCTION("""COMPUTED_VALUE"""),60000.0)</f>
        <v>60000</v>
      </c>
      <c r="E378" s="4">
        <f>IFERROR(__xludf.DUMMYFUNCTION("""COMPUTED_VALUE"""),60000.0)</f>
        <v>60000</v>
      </c>
      <c r="F378" s="4">
        <f>IFERROR(__xludf.DUMMYFUNCTION("""COMPUTED_VALUE"""),60000.0)</f>
        <v>60000</v>
      </c>
      <c r="G378" s="4">
        <f>IFERROR(__xludf.DUMMYFUNCTION("""COMPUTED_VALUE"""),385.0)</f>
        <v>385</v>
      </c>
      <c r="H378" s="4">
        <f>IFERROR(__xludf.DUMMYFUNCTION("""COMPUTED_VALUE"""),224.0)</f>
        <v>224</v>
      </c>
      <c r="I378" s="2" t="str">
        <f>IFERROR(__xludf.DUMMYFUNCTION("""COMPUTED_VALUE"""),"random")</f>
        <v>random</v>
      </c>
      <c r="J378" s="2">
        <f t="shared" si="2"/>
        <v>18</v>
      </c>
      <c r="K378" s="2">
        <f t="shared" si="3"/>
        <v>1000000</v>
      </c>
      <c r="L378" s="2" t="str">
        <f t="shared" si="4"/>
        <v>P</v>
      </c>
    </row>
    <row r="379">
      <c r="A379" s="2" t="str">
        <f>IFERROR(__xludf.DUMMYFUNCTION("""COMPUTED_VALUE"""),"examples/random/sparse_1000_2_4")</f>
        <v>examples/random/sparse_1000_2_4</v>
      </c>
      <c r="B379" s="4">
        <f>IFERROR(__xludf.DUMMYFUNCTION("""COMPUTED_VALUE"""),3000.0)</f>
        <v>3000</v>
      </c>
      <c r="C379" s="4">
        <f>IFERROR(__xludf.DUMMYFUNCTION("""COMPUTED_VALUE"""),60.0)</f>
        <v>60</v>
      </c>
      <c r="D379" s="4">
        <f>IFERROR(__xludf.DUMMYFUNCTION("""COMPUTED_VALUE"""),60000.0)</f>
        <v>60000</v>
      </c>
      <c r="E379" s="4">
        <f>IFERROR(__xludf.DUMMYFUNCTION("""COMPUTED_VALUE"""),21.0)</f>
        <v>21</v>
      </c>
      <c r="F379" s="4">
        <f>IFERROR(__xludf.DUMMYFUNCTION("""COMPUTED_VALUE"""),41.0)</f>
        <v>41</v>
      </c>
      <c r="G379" s="4">
        <f>IFERROR(__xludf.DUMMYFUNCTION("""COMPUTED_VALUE"""),19.0)</f>
        <v>19</v>
      </c>
      <c r="H379" s="4">
        <f>IFERROR(__xludf.DUMMYFUNCTION("""COMPUTED_VALUE"""),2.0)</f>
        <v>2</v>
      </c>
      <c r="I379" s="2" t="str">
        <f>IFERROR(__xludf.DUMMYFUNCTION("""COMPUTED_VALUE"""),"random")</f>
        <v>random</v>
      </c>
      <c r="J379" s="2">
        <f t="shared" si="2"/>
        <v>10</v>
      </c>
      <c r="K379" s="2">
        <f t="shared" si="3"/>
        <v>2000</v>
      </c>
      <c r="L379" s="2" t="str">
        <f t="shared" si="4"/>
        <v>P</v>
      </c>
    </row>
    <row r="380">
      <c r="A380" s="2" t="str">
        <f>IFERROR(__xludf.DUMMYFUNCTION("""COMPUTED_VALUE"""),"examples/random/dense_300_3_8")</f>
        <v>examples/random/dense_300_3_8</v>
      </c>
      <c r="B380" s="4">
        <f>IFERROR(__xludf.DUMMYFUNCTION("""COMPUTED_VALUE"""),2994.0)</f>
        <v>2994</v>
      </c>
      <c r="C380" s="4">
        <f>IFERROR(__xludf.DUMMYFUNCTION("""COMPUTED_VALUE"""),60.0)</f>
        <v>60</v>
      </c>
      <c r="D380" s="4">
        <f>IFERROR(__xludf.DUMMYFUNCTION("""COMPUTED_VALUE"""),1209.0)</f>
        <v>1209</v>
      </c>
      <c r="E380" s="4">
        <f>IFERROR(__xludf.DUMMYFUNCTION("""COMPUTED_VALUE"""),11.0)</f>
        <v>11</v>
      </c>
      <c r="F380" s="4">
        <f>IFERROR(__xludf.DUMMYFUNCTION("""COMPUTED_VALUE"""),15.0)</f>
        <v>15</v>
      </c>
      <c r="G380" s="4">
        <f>IFERROR(__xludf.DUMMYFUNCTION("""COMPUTED_VALUE"""),2.0)</f>
        <v>2</v>
      </c>
      <c r="H380" s="4">
        <f>IFERROR(__xludf.DUMMYFUNCTION("""COMPUTED_VALUE"""),0.0)</f>
        <v>0</v>
      </c>
      <c r="I380" s="2" t="str">
        <f>IFERROR(__xludf.DUMMYFUNCTION("""COMPUTED_VALUE"""),"random")</f>
        <v>random</v>
      </c>
      <c r="J380" s="2">
        <f t="shared" si="2"/>
        <v>10</v>
      </c>
      <c r="K380" s="2">
        <f t="shared" si="3"/>
        <v>2000</v>
      </c>
      <c r="L380" s="2" t="str">
        <f t="shared" si="4"/>
        <v>P</v>
      </c>
    </row>
    <row r="381">
      <c r="A381" s="2" t="str">
        <f>IFERROR(__xludf.DUMMYFUNCTION("""COMPUTED_VALUE"""),"examples/random/sparse_3000_3_5")</f>
        <v>examples/random/sparse_3000_3_5</v>
      </c>
      <c r="B381" s="4">
        <f>IFERROR(__xludf.DUMMYFUNCTION("""COMPUTED_VALUE"""),12000.0)</f>
        <v>12000</v>
      </c>
      <c r="C381" s="4">
        <f>IFERROR(__xludf.DUMMYFUNCTION("""COMPUTED_VALUE"""),60.0)</f>
        <v>60</v>
      </c>
      <c r="D381" s="4">
        <f>IFERROR(__xludf.DUMMYFUNCTION("""COMPUTED_VALUE"""),60000.0)</f>
        <v>60000</v>
      </c>
      <c r="E381" s="4">
        <f>IFERROR(__xludf.DUMMYFUNCTION("""COMPUTED_VALUE"""),279.0)</f>
        <v>279</v>
      </c>
      <c r="F381" s="4">
        <f>IFERROR(__xludf.DUMMYFUNCTION("""COMPUTED_VALUE"""),496.0)</f>
        <v>496</v>
      </c>
      <c r="G381" s="4">
        <f>IFERROR(__xludf.DUMMYFUNCTION("""COMPUTED_VALUE"""),24.0)</f>
        <v>24</v>
      </c>
      <c r="H381" s="4">
        <f>IFERROR(__xludf.DUMMYFUNCTION("""COMPUTED_VALUE"""),5.0)</f>
        <v>5</v>
      </c>
      <c r="I381" s="2" t="str">
        <f>IFERROR(__xludf.DUMMYFUNCTION("""COMPUTED_VALUE"""),"random")</f>
        <v>random</v>
      </c>
      <c r="J381" s="2">
        <f t="shared" si="2"/>
        <v>12</v>
      </c>
      <c r="K381" s="2">
        <f t="shared" si="3"/>
        <v>10000</v>
      </c>
      <c r="L381" s="2" t="str">
        <f t="shared" si="4"/>
        <v>P</v>
      </c>
    </row>
    <row r="382">
      <c r="A382" s="2" t="str">
        <f>IFERROR(__xludf.DUMMYFUNCTION("""COMPUTED_VALUE"""),"examples/random/dense_300_1_6")</f>
        <v>examples/random/dense_300_1_6</v>
      </c>
      <c r="B382" s="4">
        <f>IFERROR(__xludf.DUMMYFUNCTION("""COMPUTED_VALUE"""),1237.0)</f>
        <v>1237</v>
      </c>
      <c r="C382" s="4">
        <f>IFERROR(__xludf.DUMMYFUNCTION("""COMPUTED_VALUE"""),60.0)</f>
        <v>60</v>
      </c>
      <c r="D382" s="4">
        <f>IFERROR(__xludf.DUMMYFUNCTION("""COMPUTED_VALUE"""),329.0)</f>
        <v>329</v>
      </c>
      <c r="E382" s="4">
        <f>IFERROR(__xludf.DUMMYFUNCTION("""COMPUTED_VALUE"""),3.0)</f>
        <v>3</v>
      </c>
      <c r="F382" s="4">
        <f>IFERROR(__xludf.DUMMYFUNCTION("""COMPUTED_VALUE"""),5.0)</f>
        <v>5</v>
      </c>
      <c r="G382" s="4">
        <f>IFERROR(__xludf.DUMMYFUNCTION("""COMPUTED_VALUE"""),2.0)</f>
        <v>2</v>
      </c>
      <c r="H382" s="4">
        <f>IFERROR(__xludf.DUMMYFUNCTION("""COMPUTED_VALUE"""),0.0)</f>
        <v>0</v>
      </c>
      <c r="I382" s="2" t="str">
        <f>IFERROR(__xludf.DUMMYFUNCTION("""COMPUTED_VALUE"""),"random")</f>
        <v>random</v>
      </c>
      <c r="J382" s="2">
        <f t="shared" si="2"/>
        <v>9</v>
      </c>
      <c r="K382" s="2">
        <f t="shared" si="3"/>
        <v>1000</v>
      </c>
      <c r="L382" s="2" t="str">
        <f t="shared" si="4"/>
        <v>P</v>
      </c>
    </row>
    <row r="383">
      <c r="A383" s="2" t="str">
        <f>IFERROR(__xludf.DUMMYFUNCTION("""COMPUTED_VALUE"""),"examples/random/sparse_100000_1_4")</f>
        <v>examples/random/sparse_100000_1_4</v>
      </c>
      <c r="B383" s="4">
        <f>IFERROR(__xludf.DUMMYFUNCTION("""COMPUTED_VALUE"""),200000.0)</f>
        <v>200000</v>
      </c>
      <c r="C383" s="4">
        <f>IFERROR(__xludf.DUMMYFUNCTION("""COMPUTED_VALUE"""),60.0)</f>
        <v>60</v>
      </c>
      <c r="D383" s="4">
        <f>IFERROR(__xludf.DUMMYFUNCTION("""COMPUTED_VALUE"""),60000.0)</f>
        <v>60000</v>
      </c>
      <c r="E383" s="4">
        <f>IFERROR(__xludf.DUMMYFUNCTION("""COMPUTED_VALUE"""),338.0)</f>
        <v>338</v>
      </c>
      <c r="F383" s="4">
        <f>IFERROR(__xludf.DUMMYFUNCTION("""COMPUTED_VALUE"""),291.0)</f>
        <v>291</v>
      </c>
      <c r="G383" s="4">
        <f>IFERROR(__xludf.DUMMYFUNCTION("""COMPUTED_VALUE"""),1577.0)</f>
        <v>1577</v>
      </c>
      <c r="H383" s="4">
        <f>IFERROR(__xludf.DUMMYFUNCTION("""COMPUTED_VALUE"""),203.0)</f>
        <v>203</v>
      </c>
      <c r="I383" s="2" t="str">
        <f>IFERROR(__xludf.DUMMYFUNCTION("""COMPUTED_VALUE"""),"random")</f>
        <v>random</v>
      </c>
      <c r="J383" s="2">
        <f t="shared" si="2"/>
        <v>16</v>
      </c>
      <c r="K383" s="2">
        <f t="shared" si="3"/>
        <v>200000</v>
      </c>
      <c r="L383" s="2" t="str">
        <f t="shared" si="4"/>
        <v>P</v>
      </c>
    </row>
    <row r="384">
      <c r="A384" s="2" t="str">
        <f>IFERROR(__xludf.DUMMYFUNCTION("""COMPUTED_VALUE"""),"examples/random/sparse_3000_10_1")</f>
        <v>examples/random/sparse_3000_10_1</v>
      </c>
      <c r="B384" s="4">
        <f>IFERROR(__xludf.DUMMYFUNCTION("""COMPUTED_VALUE"""),33000.0)</f>
        <v>33000</v>
      </c>
      <c r="C384" s="4">
        <f>IFERROR(__xludf.DUMMYFUNCTION("""COMPUTED_VALUE"""),60.0)</f>
        <v>60</v>
      </c>
      <c r="D384" s="4">
        <f>IFERROR(__xludf.DUMMYFUNCTION("""COMPUTED_VALUE"""),60000.0)</f>
        <v>60000</v>
      </c>
      <c r="E384" s="4">
        <f>IFERROR(__xludf.DUMMYFUNCTION("""COMPUTED_VALUE"""),1365.0)</f>
        <v>1365</v>
      </c>
      <c r="F384" s="4">
        <f>IFERROR(__xludf.DUMMYFUNCTION("""COMPUTED_VALUE"""),2031.0)</f>
        <v>2031</v>
      </c>
      <c r="G384" s="4">
        <f>IFERROR(__xludf.DUMMYFUNCTION("""COMPUTED_VALUE"""),28.0)</f>
        <v>28</v>
      </c>
      <c r="H384" s="4">
        <f>IFERROR(__xludf.DUMMYFUNCTION("""COMPUTED_VALUE"""),9.0)</f>
        <v>9</v>
      </c>
      <c r="I384" s="2" t="str">
        <f>IFERROR(__xludf.DUMMYFUNCTION("""COMPUTED_VALUE"""),"random")</f>
        <v>random</v>
      </c>
      <c r="J384" s="2">
        <f t="shared" si="2"/>
        <v>14</v>
      </c>
      <c r="K384" s="2">
        <f t="shared" si="3"/>
        <v>50000</v>
      </c>
      <c r="L384" s="2" t="str">
        <f t="shared" si="4"/>
        <v>P</v>
      </c>
    </row>
    <row r="385">
      <c r="A385" s="2" t="str">
        <f>IFERROR(__xludf.DUMMYFUNCTION("""COMPUTED_VALUE"""),"examples/random/dense_300_2_2")</f>
        <v>examples/random/dense_300_2_2</v>
      </c>
      <c r="B385" s="4">
        <f>IFERROR(__xludf.DUMMYFUNCTION("""COMPUTED_VALUE"""),2181.0)</f>
        <v>2181</v>
      </c>
      <c r="C385" s="4">
        <f>IFERROR(__xludf.DUMMYFUNCTION("""COMPUTED_VALUE"""),60.0)</f>
        <v>60</v>
      </c>
      <c r="D385" s="4">
        <f>IFERROR(__xludf.DUMMYFUNCTION("""COMPUTED_VALUE"""),865.0)</f>
        <v>865</v>
      </c>
      <c r="E385" s="4">
        <f>IFERROR(__xludf.DUMMYFUNCTION("""COMPUTED_VALUE"""),7.0)</f>
        <v>7</v>
      </c>
      <c r="F385" s="4">
        <f>IFERROR(__xludf.DUMMYFUNCTION("""COMPUTED_VALUE"""),10.0)</f>
        <v>10</v>
      </c>
      <c r="G385" s="4">
        <f>IFERROR(__xludf.DUMMYFUNCTION("""COMPUTED_VALUE"""),2.0)</f>
        <v>2</v>
      </c>
      <c r="H385" s="4">
        <f>IFERROR(__xludf.DUMMYFUNCTION("""COMPUTED_VALUE"""),0.0)</f>
        <v>0</v>
      </c>
      <c r="I385" s="2" t="str">
        <f>IFERROR(__xludf.DUMMYFUNCTION("""COMPUTED_VALUE"""),"random")</f>
        <v>random</v>
      </c>
      <c r="J385" s="2">
        <f t="shared" si="2"/>
        <v>10</v>
      </c>
      <c r="K385" s="2">
        <f t="shared" si="3"/>
        <v>2000</v>
      </c>
      <c r="L385" s="2" t="str">
        <f t="shared" si="4"/>
        <v>P</v>
      </c>
    </row>
    <row r="386">
      <c r="A386" s="2" t="str">
        <f>IFERROR(__xludf.DUMMYFUNCTION("""COMPUTED_VALUE"""),"examples/random/sparse_1000_10_5")</f>
        <v>examples/random/sparse_1000_10_5</v>
      </c>
      <c r="B386" s="4">
        <f>IFERROR(__xludf.DUMMYFUNCTION("""COMPUTED_VALUE"""),11000.0)</f>
        <v>11000</v>
      </c>
      <c r="C386" s="4">
        <f>IFERROR(__xludf.DUMMYFUNCTION("""COMPUTED_VALUE"""),60.0)</f>
        <v>60</v>
      </c>
      <c r="D386" s="4">
        <f>IFERROR(__xludf.DUMMYFUNCTION("""COMPUTED_VALUE"""),49994.0)</f>
        <v>49994</v>
      </c>
      <c r="E386" s="4">
        <f>IFERROR(__xludf.DUMMYFUNCTION("""COMPUTED_VALUE"""),149.0)</f>
        <v>149</v>
      </c>
      <c r="F386" s="4">
        <f>IFERROR(__xludf.DUMMYFUNCTION("""COMPUTED_VALUE"""),211.0)</f>
        <v>211</v>
      </c>
      <c r="G386" s="4">
        <f>IFERROR(__xludf.DUMMYFUNCTION("""COMPUTED_VALUE"""),10.0)</f>
        <v>10</v>
      </c>
      <c r="H386" s="4">
        <f>IFERROR(__xludf.DUMMYFUNCTION("""COMPUTED_VALUE"""),3.0)</f>
        <v>3</v>
      </c>
      <c r="I386" s="2" t="str">
        <f>IFERROR(__xludf.DUMMYFUNCTION("""COMPUTED_VALUE"""),"random")</f>
        <v>random</v>
      </c>
      <c r="J386" s="2">
        <f t="shared" si="2"/>
        <v>12</v>
      </c>
      <c r="K386" s="2">
        <f t="shared" si="3"/>
        <v>10000</v>
      </c>
      <c r="L386" s="2" t="str">
        <f t="shared" si="4"/>
        <v>P</v>
      </c>
    </row>
    <row r="387">
      <c r="A387" s="2" t="str">
        <f>IFERROR(__xludf.DUMMYFUNCTION("""COMPUTED_VALUE"""),"examples/random/sparse_10000_3_7")</f>
        <v>examples/random/sparse_10000_3_7</v>
      </c>
      <c r="B387" s="4">
        <f>IFERROR(__xludf.DUMMYFUNCTION("""COMPUTED_VALUE"""),40000.0)</f>
        <v>40000</v>
      </c>
      <c r="C387" s="4">
        <f>IFERROR(__xludf.DUMMYFUNCTION("""COMPUTED_VALUE"""),60.0)</f>
        <v>60</v>
      </c>
      <c r="D387" s="4">
        <f>IFERROR(__xludf.DUMMYFUNCTION("""COMPUTED_VALUE"""),60000.0)</f>
        <v>60000</v>
      </c>
      <c r="E387" s="4">
        <f>IFERROR(__xludf.DUMMYFUNCTION("""COMPUTED_VALUE"""),3289.0)</f>
        <v>3289</v>
      </c>
      <c r="F387" s="4">
        <f>IFERROR(__xludf.DUMMYFUNCTION("""COMPUTED_VALUE"""),5762.0)</f>
        <v>5762</v>
      </c>
      <c r="G387" s="4">
        <f>IFERROR(__xludf.DUMMYFUNCTION("""COMPUTED_VALUE"""),86.0)</f>
        <v>86</v>
      </c>
      <c r="H387" s="4">
        <f>IFERROR(__xludf.DUMMYFUNCTION("""COMPUTED_VALUE"""),17.0)</f>
        <v>17</v>
      </c>
      <c r="I387" s="2" t="str">
        <f>IFERROR(__xludf.DUMMYFUNCTION("""COMPUTED_VALUE"""),"random")</f>
        <v>random</v>
      </c>
      <c r="J387" s="2">
        <f t="shared" si="2"/>
        <v>14</v>
      </c>
      <c r="K387" s="2">
        <f t="shared" si="3"/>
        <v>50000</v>
      </c>
      <c r="L387" s="2" t="str">
        <f t="shared" si="4"/>
        <v>P</v>
      </c>
    </row>
    <row r="388">
      <c r="A388" s="2" t="str">
        <f>IFERROR(__xludf.DUMMYFUNCTION("""COMPUTED_VALUE"""),"examples/random/sparse_10000_1_9")</f>
        <v>examples/random/sparse_10000_1_9</v>
      </c>
      <c r="B388" s="4">
        <f>IFERROR(__xludf.DUMMYFUNCTION("""COMPUTED_VALUE"""),20000.0)</f>
        <v>20000</v>
      </c>
      <c r="C388" s="4">
        <f>IFERROR(__xludf.DUMMYFUNCTION("""COMPUTED_VALUE"""),60.0)</f>
        <v>60</v>
      </c>
      <c r="D388" s="4">
        <f>IFERROR(__xludf.DUMMYFUNCTION("""COMPUTED_VALUE"""),17894.0)</f>
        <v>17894</v>
      </c>
      <c r="E388" s="4">
        <f>IFERROR(__xludf.DUMMYFUNCTION("""COMPUTED_VALUE"""),22.0)</f>
        <v>22</v>
      </c>
      <c r="F388" s="4">
        <f>IFERROR(__xludf.DUMMYFUNCTION("""COMPUTED_VALUE"""),20.0)</f>
        <v>20</v>
      </c>
      <c r="G388" s="4">
        <f>IFERROR(__xludf.DUMMYFUNCTION("""COMPUTED_VALUE"""),118.0)</f>
        <v>118</v>
      </c>
      <c r="H388" s="4">
        <f>IFERROR(__xludf.DUMMYFUNCTION("""COMPUTED_VALUE"""),15.0)</f>
        <v>15</v>
      </c>
      <c r="I388" s="2" t="str">
        <f>IFERROR(__xludf.DUMMYFUNCTION("""COMPUTED_VALUE"""),"random")</f>
        <v>random</v>
      </c>
      <c r="J388" s="2">
        <f t="shared" si="2"/>
        <v>13</v>
      </c>
      <c r="K388" s="2">
        <f t="shared" si="3"/>
        <v>20000</v>
      </c>
      <c r="L388" s="2" t="str">
        <f t="shared" si="4"/>
        <v>P</v>
      </c>
    </row>
    <row r="389">
      <c r="A389" s="2" t="str">
        <f>IFERROR(__xludf.DUMMYFUNCTION("""COMPUTED_VALUE"""),"examples/random/dense_3000_3_5")</f>
        <v>examples/random/dense_3000_3_5</v>
      </c>
      <c r="B389" s="4">
        <f>IFERROR(__xludf.DUMMYFUNCTION("""COMPUTED_VALUE"""),273387.0)</f>
        <v>273387</v>
      </c>
      <c r="C389" s="4">
        <f>IFERROR(__xludf.DUMMYFUNCTION("""COMPUTED_VALUE"""),60.0)</f>
        <v>60</v>
      </c>
      <c r="D389" s="4">
        <f>IFERROR(__xludf.DUMMYFUNCTION("""COMPUTED_VALUE"""),60000.0)</f>
        <v>60000</v>
      </c>
      <c r="E389" s="4">
        <f>IFERROR(__xludf.DUMMYFUNCTION("""COMPUTED_VALUE"""),12935.0)</f>
        <v>12935</v>
      </c>
      <c r="F389" s="4">
        <f>IFERROR(__xludf.DUMMYFUNCTION("""COMPUTED_VALUE"""),36526.0)</f>
        <v>36526</v>
      </c>
      <c r="G389" s="4">
        <f>IFERROR(__xludf.DUMMYFUNCTION("""COMPUTED_VALUE"""),97.0)</f>
        <v>97</v>
      </c>
      <c r="H389" s="4">
        <f>IFERROR(__xludf.DUMMYFUNCTION("""COMPUTED_VALUE"""),58.0)</f>
        <v>58</v>
      </c>
      <c r="I389" s="2" t="str">
        <f>IFERROR(__xludf.DUMMYFUNCTION("""COMPUTED_VALUE"""),"random")</f>
        <v>random</v>
      </c>
      <c r="J389" s="2">
        <f t="shared" si="2"/>
        <v>16</v>
      </c>
      <c r="K389" s="2">
        <f t="shared" si="3"/>
        <v>200000</v>
      </c>
      <c r="L389" s="2" t="str">
        <f t="shared" si="4"/>
        <v>P</v>
      </c>
    </row>
    <row r="390">
      <c r="A390" s="2" t="str">
        <f>IFERROR(__xludf.DUMMYFUNCTION("""COMPUTED_VALUE"""),"examples/random/sparse_30000_3_3")</f>
        <v>examples/random/sparse_30000_3_3</v>
      </c>
      <c r="B390" s="4">
        <f>IFERROR(__xludf.DUMMYFUNCTION("""COMPUTED_VALUE"""),120000.0)</f>
        <v>120000</v>
      </c>
      <c r="C390" s="4">
        <f>IFERROR(__xludf.DUMMYFUNCTION("""COMPUTED_VALUE"""),60.0)</f>
        <v>60</v>
      </c>
      <c r="D390" s="4">
        <f>IFERROR(__xludf.DUMMYFUNCTION("""COMPUTED_VALUE"""),60000.0)</f>
        <v>60000</v>
      </c>
      <c r="E390" s="4">
        <f>IFERROR(__xludf.DUMMYFUNCTION("""COMPUTED_VALUE"""),32290.0)</f>
        <v>32290</v>
      </c>
      <c r="F390" s="4">
        <f>IFERROR(__xludf.DUMMYFUNCTION("""COMPUTED_VALUE"""),57464.0)</f>
        <v>57464</v>
      </c>
      <c r="G390" s="4">
        <f>IFERROR(__xludf.DUMMYFUNCTION("""COMPUTED_VALUE"""),291.0)</f>
        <v>291</v>
      </c>
      <c r="H390" s="4">
        <f>IFERROR(__xludf.DUMMYFUNCTION("""COMPUTED_VALUE"""),66.0)</f>
        <v>66</v>
      </c>
      <c r="I390" s="2" t="str">
        <f>IFERROR(__xludf.DUMMYFUNCTION("""COMPUTED_VALUE"""),"random")</f>
        <v>random</v>
      </c>
      <c r="J390" s="2">
        <f t="shared" si="2"/>
        <v>15</v>
      </c>
      <c r="K390" s="2">
        <f t="shared" si="3"/>
        <v>100000</v>
      </c>
      <c r="L390" s="2" t="str">
        <f t="shared" si="4"/>
        <v>P</v>
      </c>
    </row>
    <row r="391">
      <c r="A391" s="2" t="str">
        <f>IFERROR(__xludf.DUMMYFUNCTION("""COMPUTED_VALUE"""),"examples/random/dense_1000_2_4")</f>
        <v>examples/random/dense_1000_2_4</v>
      </c>
      <c r="B391" s="4">
        <f>IFERROR(__xludf.DUMMYFUNCTION("""COMPUTED_VALUE"""),20821.0)</f>
        <v>20821</v>
      </c>
      <c r="C391" s="4">
        <f>IFERROR(__xludf.DUMMYFUNCTION("""COMPUTED_VALUE"""),60.0)</f>
        <v>60</v>
      </c>
      <c r="D391" s="4">
        <f>IFERROR(__xludf.DUMMYFUNCTION("""COMPUTED_VALUE"""),60000.0)</f>
        <v>60000</v>
      </c>
      <c r="E391" s="4">
        <f>IFERROR(__xludf.DUMMYFUNCTION("""COMPUTED_VALUE"""),291.0)</f>
        <v>291</v>
      </c>
      <c r="F391" s="4">
        <f>IFERROR(__xludf.DUMMYFUNCTION("""COMPUTED_VALUE"""),418.0)</f>
        <v>418</v>
      </c>
      <c r="G391" s="4">
        <f>IFERROR(__xludf.DUMMYFUNCTION("""COMPUTED_VALUE"""),11.0)</f>
        <v>11</v>
      </c>
      <c r="H391" s="4">
        <f>IFERROR(__xludf.DUMMYFUNCTION("""COMPUTED_VALUE"""),4.0)</f>
        <v>4</v>
      </c>
      <c r="I391" s="2" t="str">
        <f>IFERROR(__xludf.DUMMYFUNCTION("""COMPUTED_VALUE"""),"random")</f>
        <v>random</v>
      </c>
      <c r="J391" s="2">
        <f t="shared" si="2"/>
        <v>13</v>
      </c>
      <c r="K391" s="2">
        <f t="shared" si="3"/>
        <v>20000</v>
      </c>
      <c r="L391" s="2" t="str">
        <f t="shared" si="4"/>
        <v>P</v>
      </c>
    </row>
    <row r="392">
      <c r="A392" s="2" t="str">
        <f>IFERROR(__xludf.DUMMYFUNCTION("""COMPUTED_VALUE"""),"examples/random/sparse_10000_10_8")</f>
        <v>examples/random/sparse_10000_10_8</v>
      </c>
      <c r="B392" s="4">
        <f>IFERROR(__xludf.DUMMYFUNCTION("""COMPUTED_VALUE"""),110000.0)</f>
        <v>110000</v>
      </c>
      <c r="C392" s="4">
        <f>IFERROR(__xludf.DUMMYFUNCTION("""COMPUTED_VALUE"""),60.0)</f>
        <v>60</v>
      </c>
      <c r="D392" s="4">
        <f>IFERROR(__xludf.DUMMYFUNCTION("""COMPUTED_VALUE"""),60000.0)</f>
        <v>60000</v>
      </c>
      <c r="E392" s="4">
        <f>IFERROR(__xludf.DUMMYFUNCTION("""COMPUTED_VALUE"""),15979.0)</f>
        <v>15979</v>
      </c>
      <c r="F392" s="4">
        <f>IFERROR(__xludf.DUMMYFUNCTION("""COMPUTED_VALUE"""),22615.0)</f>
        <v>22615</v>
      </c>
      <c r="G392" s="4">
        <f>IFERROR(__xludf.DUMMYFUNCTION("""COMPUTED_VALUE"""),104.0)</f>
        <v>104</v>
      </c>
      <c r="H392" s="4">
        <f>IFERROR(__xludf.DUMMYFUNCTION("""COMPUTED_VALUE"""),34.0)</f>
        <v>34</v>
      </c>
      <c r="I392" s="2" t="str">
        <f>IFERROR(__xludf.DUMMYFUNCTION("""COMPUTED_VALUE"""),"random")</f>
        <v>random</v>
      </c>
      <c r="J392" s="2">
        <f t="shared" si="2"/>
        <v>15</v>
      </c>
      <c r="K392" s="2">
        <f t="shared" si="3"/>
        <v>100000</v>
      </c>
      <c r="L392" s="2" t="str">
        <f t="shared" si="4"/>
        <v>P</v>
      </c>
    </row>
    <row r="393">
      <c r="A393" s="2" t="str">
        <f>IFERROR(__xludf.DUMMYFUNCTION("""COMPUTED_VALUE"""),"examples/random/sparse_300_10_7")</f>
        <v>examples/random/sparse_300_10_7</v>
      </c>
      <c r="B393" s="4">
        <f>IFERROR(__xludf.DUMMYFUNCTION("""COMPUTED_VALUE"""),3300.0)</f>
        <v>3300</v>
      </c>
      <c r="C393" s="4">
        <f>IFERROR(__xludf.DUMMYFUNCTION("""COMPUTED_VALUE"""),60.0)</f>
        <v>60</v>
      </c>
      <c r="D393" s="4">
        <f>IFERROR(__xludf.DUMMYFUNCTION("""COMPUTED_VALUE"""),1326.0)</f>
        <v>1326</v>
      </c>
      <c r="E393" s="4">
        <f>IFERROR(__xludf.DUMMYFUNCTION("""COMPUTED_VALUE"""),13.0)</f>
        <v>13</v>
      </c>
      <c r="F393" s="4">
        <f>IFERROR(__xludf.DUMMYFUNCTION("""COMPUTED_VALUE"""),19.0)</f>
        <v>19</v>
      </c>
      <c r="G393" s="4">
        <f>IFERROR(__xludf.DUMMYFUNCTION("""COMPUTED_VALUE"""),2.0)</f>
        <v>2</v>
      </c>
      <c r="H393" s="4">
        <f>IFERROR(__xludf.DUMMYFUNCTION("""COMPUTED_VALUE"""),1.0)</f>
        <v>1</v>
      </c>
      <c r="I393" s="2" t="str">
        <f>IFERROR(__xludf.DUMMYFUNCTION("""COMPUTED_VALUE"""),"random")</f>
        <v>random</v>
      </c>
      <c r="J393" s="2">
        <f t="shared" si="2"/>
        <v>11</v>
      </c>
      <c r="K393" s="2">
        <f t="shared" si="3"/>
        <v>5000</v>
      </c>
      <c r="L393" s="2" t="str">
        <f t="shared" si="4"/>
        <v>P</v>
      </c>
    </row>
    <row r="394">
      <c r="A394" s="2" t="str">
        <f>IFERROR(__xludf.DUMMYFUNCTION("""COMPUTED_VALUE"""),"examples/random/sparse_100000_10_2")</f>
        <v>examples/random/sparse_100000_10_2</v>
      </c>
      <c r="B394" s="4">
        <f>IFERROR(__xludf.DUMMYFUNCTION("""COMPUTED_VALUE"""),1100000.0)</f>
        <v>1100000</v>
      </c>
      <c r="C394" s="4">
        <f>IFERROR(__xludf.DUMMYFUNCTION("""COMPUTED_VALUE"""),60.0)</f>
        <v>60</v>
      </c>
      <c r="D394" s="4">
        <f>IFERROR(__xludf.DUMMYFUNCTION("""COMPUTED_VALUE"""),60000.0)</f>
        <v>60000</v>
      </c>
      <c r="E394" s="4">
        <f>IFERROR(__xludf.DUMMYFUNCTION("""COMPUTED_VALUE"""),60000.0)</f>
        <v>60000</v>
      </c>
      <c r="F394" s="4">
        <f>IFERROR(__xludf.DUMMYFUNCTION("""COMPUTED_VALUE"""),60000.0)</f>
        <v>60000</v>
      </c>
      <c r="G394" s="4">
        <f>IFERROR(__xludf.DUMMYFUNCTION("""COMPUTED_VALUE"""),1737.0)</f>
        <v>1737</v>
      </c>
      <c r="H394" s="4">
        <f>IFERROR(__xludf.DUMMYFUNCTION("""COMPUTED_VALUE"""),547.0)</f>
        <v>547</v>
      </c>
      <c r="I394" s="2" t="str">
        <f>IFERROR(__xludf.DUMMYFUNCTION("""COMPUTED_VALUE"""),"random")</f>
        <v>random</v>
      </c>
      <c r="J394" s="2">
        <f t="shared" si="2"/>
        <v>18</v>
      </c>
      <c r="K394" s="2">
        <f t="shared" si="3"/>
        <v>1000000</v>
      </c>
      <c r="L394" s="2" t="str">
        <f t="shared" si="4"/>
        <v>P</v>
      </c>
    </row>
    <row r="395">
      <c r="A395" s="2" t="str">
        <f>IFERROR(__xludf.DUMMYFUNCTION("""COMPUTED_VALUE"""),"examples/random/sparse_30000_2_9")</f>
        <v>examples/random/sparse_30000_2_9</v>
      </c>
      <c r="B395" s="4">
        <f>IFERROR(__xludf.DUMMYFUNCTION("""COMPUTED_VALUE"""),90000.0)</f>
        <v>90000</v>
      </c>
      <c r="C395" s="4">
        <f>IFERROR(__xludf.DUMMYFUNCTION("""COMPUTED_VALUE"""),60.0)</f>
        <v>60</v>
      </c>
      <c r="D395" s="4">
        <f>IFERROR(__xludf.DUMMYFUNCTION("""COMPUTED_VALUE"""),60000.0)</f>
        <v>60000</v>
      </c>
      <c r="E395" s="4">
        <f>IFERROR(__xludf.DUMMYFUNCTION("""COMPUTED_VALUE"""),13483.0)</f>
        <v>13483</v>
      </c>
      <c r="F395" s="4">
        <f>IFERROR(__xludf.DUMMYFUNCTION("""COMPUTED_VALUE"""),24620.0)</f>
        <v>24620</v>
      </c>
      <c r="G395" s="4">
        <f>IFERROR(__xludf.DUMMYFUNCTION("""COMPUTED_VALUE"""),271.0)</f>
        <v>271</v>
      </c>
      <c r="H395" s="4">
        <f>IFERROR(__xludf.DUMMYFUNCTION("""COMPUTED_VALUE"""),53.0)</f>
        <v>53</v>
      </c>
      <c r="I395" s="2" t="str">
        <f>IFERROR(__xludf.DUMMYFUNCTION("""COMPUTED_VALUE"""),"random")</f>
        <v>random</v>
      </c>
      <c r="J395" s="2">
        <f t="shared" si="2"/>
        <v>15</v>
      </c>
      <c r="K395" s="2">
        <f t="shared" si="3"/>
        <v>100000</v>
      </c>
      <c r="L395" s="2" t="str">
        <f t="shared" si="4"/>
        <v>P</v>
      </c>
    </row>
    <row r="396">
      <c r="A396" s="2" t="str">
        <f>IFERROR(__xludf.DUMMYFUNCTION("""COMPUTED_VALUE"""),"examples/random/sparse_1000_1_9")</f>
        <v>examples/random/sparse_1000_1_9</v>
      </c>
      <c r="B396" s="4">
        <f>IFERROR(__xludf.DUMMYFUNCTION("""COMPUTED_VALUE"""),2000.0)</f>
        <v>2000</v>
      </c>
      <c r="C396" s="4">
        <f>IFERROR(__xludf.DUMMYFUNCTION("""COMPUTED_VALUE"""),60.0)</f>
        <v>60</v>
      </c>
      <c r="D396" s="4">
        <f>IFERROR(__xludf.DUMMYFUNCTION("""COMPUTED_VALUE"""),166.0)</f>
        <v>166</v>
      </c>
      <c r="E396" s="4">
        <f>IFERROR(__xludf.DUMMYFUNCTION("""COMPUTED_VALUE"""),3.0)</f>
        <v>3</v>
      </c>
      <c r="F396" s="4">
        <f>IFERROR(__xludf.DUMMYFUNCTION("""COMPUTED_VALUE"""),1.0)</f>
        <v>1</v>
      </c>
      <c r="G396" s="4">
        <f>IFERROR(__xludf.DUMMYFUNCTION("""COMPUTED_VALUE"""),9.0)</f>
        <v>9</v>
      </c>
      <c r="H396" s="4">
        <f>IFERROR(__xludf.DUMMYFUNCTION("""COMPUTED_VALUE"""),1.0)</f>
        <v>1</v>
      </c>
      <c r="I396" s="2" t="str">
        <f>IFERROR(__xludf.DUMMYFUNCTION("""COMPUTED_VALUE"""),"random")</f>
        <v>random</v>
      </c>
      <c r="J396" s="2">
        <f t="shared" si="2"/>
        <v>10</v>
      </c>
      <c r="K396" s="2">
        <f t="shared" si="3"/>
        <v>2000</v>
      </c>
      <c r="L396" s="2" t="str">
        <f t="shared" si="4"/>
        <v>BP</v>
      </c>
    </row>
    <row r="397">
      <c r="A397" s="2" t="str">
        <f>IFERROR(__xludf.DUMMYFUNCTION("""COMPUTED_VALUE"""),"examples/random/sparse_3000_2_6")</f>
        <v>examples/random/sparse_3000_2_6</v>
      </c>
      <c r="B397" s="4">
        <f>IFERROR(__xludf.DUMMYFUNCTION("""COMPUTED_VALUE"""),9000.0)</f>
        <v>9000</v>
      </c>
      <c r="C397" s="4">
        <f>IFERROR(__xludf.DUMMYFUNCTION("""COMPUTED_VALUE"""),60.0)</f>
        <v>60</v>
      </c>
      <c r="D397" s="4">
        <f>IFERROR(__xludf.DUMMYFUNCTION("""COMPUTED_VALUE"""),60000.0)</f>
        <v>60000</v>
      </c>
      <c r="E397" s="4">
        <f>IFERROR(__xludf.DUMMYFUNCTION("""COMPUTED_VALUE"""),111.0)</f>
        <v>111</v>
      </c>
      <c r="F397" s="4">
        <f>IFERROR(__xludf.DUMMYFUNCTION("""COMPUTED_VALUE"""),206.0)</f>
        <v>206</v>
      </c>
      <c r="G397" s="4">
        <f>IFERROR(__xludf.DUMMYFUNCTION("""COMPUTED_VALUE"""),27.0)</f>
        <v>27</v>
      </c>
      <c r="H397" s="4">
        <f>IFERROR(__xludf.DUMMYFUNCTION("""COMPUTED_VALUE"""),5.0)</f>
        <v>5</v>
      </c>
      <c r="I397" s="2" t="str">
        <f>IFERROR(__xludf.DUMMYFUNCTION("""COMPUTED_VALUE"""),"random")</f>
        <v>random</v>
      </c>
      <c r="J397" s="2">
        <f t="shared" si="2"/>
        <v>12</v>
      </c>
      <c r="K397" s="2">
        <f t="shared" si="3"/>
        <v>10000</v>
      </c>
      <c r="L397" s="2" t="str">
        <f t="shared" si="4"/>
        <v>P</v>
      </c>
    </row>
    <row r="398">
      <c r="A398" s="2" t="str">
        <f>IFERROR(__xludf.DUMMYFUNCTION("""COMPUTED_VALUE"""),"examples/random/sparse_100000_3_3")</f>
        <v>examples/random/sparse_100000_3_3</v>
      </c>
      <c r="B398" s="4">
        <f>IFERROR(__xludf.DUMMYFUNCTION("""COMPUTED_VALUE"""),400000.0)</f>
        <v>400000</v>
      </c>
      <c r="C398" s="4">
        <f>IFERROR(__xludf.DUMMYFUNCTION("""COMPUTED_VALUE"""),60.0)</f>
        <v>60</v>
      </c>
      <c r="D398" s="4">
        <f>IFERROR(__xludf.DUMMYFUNCTION("""COMPUTED_VALUE"""),60000.0)</f>
        <v>60000</v>
      </c>
      <c r="E398" s="4">
        <f>IFERROR(__xludf.DUMMYFUNCTION("""COMPUTED_VALUE"""),60000.0)</f>
        <v>60000</v>
      </c>
      <c r="F398" s="4">
        <f>IFERROR(__xludf.DUMMYFUNCTION("""COMPUTED_VALUE"""),60000.0)</f>
        <v>60000</v>
      </c>
      <c r="G398" s="4">
        <f>IFERROR(__xludf.DUMMYFUNCTION("""COMPUTED_VALUE"""),1144.0)</f>
        <v>1144</v>
      </c>
      <c r="H398" s="4">
        <f>IFERROR(__xludf.DUMMYFUNCTION("""COMPUTED_VALUE"""),224.0)</f>
        <v>224</v>
      </c>
      <c r="I398" s="2" t="str">
        <f>IFERROR(__xludf.DUMMYFUNCTION("""COMPUTED_VALUE"""),"random")</f>
        <v>random</v>
      </c>
      <c r="J398" s="2">
        <f t="shared" si="2"/>
        <v>17</v>
      </c>
      <c r="K398" s="2">
        <f t="shared" si="3"/>
        <v>500000</v>
      </c>
      <c r="L398" s="2" t="str">
        <f t="shared" si="4"/>
        <v>P</v>
      </c>
    </row>
    <row r="399">
      <c r="A399" s="2" t="str">
        <f>IFERROR(__xludf.DUMMYFUNCTION("""COMPUTED_VALUE"""),"examples/random/sparse_3000_10_8")</f>
        <v>examples/random/sparse_3000_10_8</v>
      </c>
      <c r="B399" s="4">
        <f>IFERROR(__xludf.DUMMYFUNCTION("""COMPUTED_VALUE"""),33000.0)</f>
        <v>33000</v>
      </c>
      <c r="C399" s="4">
        <f>IFERROR(__xludf.DUMMYFUNCTION("""COMPUTED_VALUE"""),60.0)</f>
        <v>60</v>
      </c>
      <c r="D399" s="4">
        <f>IFERROR(__xludf.DUMMYFUNCTION("""COMPUTED_VALUE"""),60000.0)</f>
        <v>60000</v>
      </c>
      <c r="E399" s="4">
        <f>IFERROR(__xludf.DUMMYFUNCTION("""COMPUTED_VALUE"""),1366.0)</f>
        <v>1366</v>
      </c>
      <c r="F399" s="4">
        <f>IFERROR(__xludf.DUMMYFUNCTION("""COMPUTED_VALUE"""),2005.0)</f>
        <v>2005</v>
      </c>
      <c r="G399" s="4">
        <f>IFERROR(__xludf.DUMMYFUNCTION("""COMPUTED_VALUE"""),30.0)</f>
        <v>30</v>
      </c>
      <c r="H399" s="4">
        <f>IFERROR(__xludf.DUMMYFUNCTION("""COMPUTED_VALUE"""),10.0)</f>
        <v>10</v>
      </c>
      <c r="I399" s="2" t="str">
        <f>IFERROR(__xludf.DUMMYFUNCTION("""COMPUTED_VALUE"""),"random")</f>
        <v>random</v>
      </c>
      <c r="J399" s="2">
        <f t="shared" si="2"/>
        <v>14</v>
      </c>
      <c r="K399" s="2">
        <f t="shared" si="3"/>
        <v>50000</v>
      </c>
      <c r="L399" s="2" t="str">
        <f t="shared" si="4"/>
        <v>P</v>
      </c>
    </row>
    <row r="400">
      <c r="A400" s="2" t="str">
        <f>IFERROR(__xludf.DUMMYFUNCTION("""COMPUTED_VALUE"""),"examples/random/sparse_1000_3_7")</f>
        <v>examples/random/sparse_1000_3_7</v>
      </c>
      <c r="B400" s="4">
        <f>IFERROR(__xludf.DUMMYFUNCTION("""COMPUTED_VALUE"""),4000.0)</f>
        <v>4000</v>
      </c>
      <c r="C400" s="4">
        <f>IFERROR(__xludf.DUMMYFUNCTION("""COMPUTED_VALUE"""),60.0)</f>
        <v>60</v>
      </c>
      <c r="D400" s="4">
        <f>IFERROR(__xludf.DUMMYFUNCTION("""COMPUTED_VALUE"""),13146.0)</f>
        <v>13146</v>
      </c>
      <c r="E400" s="4">
        <f>IFERROR(__xludf.DUMMYFUNCTION("""COMPUTED_VALUE"""),29.0)</f>
        <v>29</v>
      </c>
      <c r="F400" s="4">
        <f>IFERROR(__xludf.DUMMYFUNCTION("""COMPUTED_VALUE"""),52.0)</f>
        <v>52</v>
      </c>
      <c r="G400" s="4">
        <f>IFERROR(__xludf.DUMMYFUNCTION("""COMPUTED_VALUE"""),8.0)</f>
        <v>8</v>
      </c>
      <c r="H400" s="4">
        <f>IFERROR(__xludf.DUMMYFUNCTION("""COMPUTED_VALUE"""),2.0)</f>
        <v>2</v>
      </c>
      <c r="I400" s="2" t="str">
        <f>IFERROR(__xludf.DUMMYFUNCTION("""COMPUTED_VALUE"""),"random")</f>
        <v>random</v>
      </c>
      <c r="J400" s="2">
        <f t="shared" si="2"/>
        <v>11</v>
      </c>
      <c r="K400" s="2">
        <f t="shared" si="3"/>
        <v>5000</v>
      </c>
      <c r="L400" s="2" t="str">
        <f t="shared" si="4"/>
        <v>P</v>
      </c>
    </row>
    <row r="401">
      <c r="A401" s="2" t="str">
        <f>IFERROR(__xludf.DUMMYFUNCTION("""COMPUTED_VALUE"""),"examples/random/dense_10000_2_9")</f>
        <v>examples/random/dense_10000_2_9</v>
      </c>
      <c r="B401" s="4">
        <f>IFERROR(__xludf.DUMMYFUNCTION("""COMPUTED_VALUE"""),2009444.0)</f>
        <v>2009444</v>
      </c>
      <c r="C401" s="4">
        <f>IFERROR(__xludf.DUMMYFUNCTION("""COMPUTED_VALUE"""),60.0)</f>
        <v>60</v>
      </c>
      <c r="D401" s="4">
        <f>IFERROR(__xludf.DUMMYFUNCTION("""COMPUTED_VALUE"""),60000.0)</f>
        <v>60000</v>
      </c>
      <c r="E401" s="4">
        <f>IFERROR(__xludf.DUMMYFUNCTION("""COMPUTED_VALUE"""),60000.0)</f>
        <v>60000</v>
      </c>
      <c r="F401" s="4">
        <f>IFERROR(__xludf.DUMMYFUNCTION("""COMPUTED_VALUE"""),60000.0)</f>
        <v>60000</v>
      </c>
      <c r="G401" s="4">
        <f>IFERROR(__xludf.DUMMYFUNCTION("""COMPUTED_VALUE"""),668.0)</f>
        <v>668</v>
      </c>
      <c r="H401" s="4">
        <f>IFERROR(__xludf.DUMMYFUNCTION("""COMPUTED_VALUE"""),441.0)</f>
        <v>441</v>
      </c>
      <c r="I401" s="2" t="str">
        <f>IFERROR(__xludf.DUMMYFUNCTION("""COMPUTED_VALUE"""),"random")</f>
        <v>random</v>
      </c>
      <c r="J401" s="2">
        <f t="shared" si="2"/>
        <v>19</v>
      </c>
      <c r="K401" s="2">
        <f t="shared" si="3"/>
        <v>2000000</v>
      </c>
      <c r="L401" s="2" t="str">
        <f t="shared" si="4"/>
        <v>P</v>
      </c>
    </row>
    <row r="402">
      <c r="A402" s="2" t="str">
        <f>IFERROR(__xludf.DUMMYFUNCTION("""COMPUTED_VALUE"""),"examples/random/dense_10000_3_3")</f>
        <v>examples/random/dense_10000_3_3</v>
      </c>
      <c r="B402" s="4">
        <f>IFERROR(__xludf.DUMMYFUNCTION("""COMPUTED_VALUE"""),3010126.0)</f>
        <v>3010126</v>
      </c>
      <c r="C402" s="4">
        <f>IFERROR(__xludf.DUMMYFUNCTION("""COMPUTED_VALUE"""),60.0)</f>
        <v>60</v>
      </c>
      <c r="D402" s="4">
        <f>IFERROR(__xludf.DUMMYFUNCTION("""COMPUTED_VALUE"""),60000.0)</f>
        <v>60000</v>
      </c>
      <c r="E402" s="4">
        <f>IFERROR(__xludf.DUMMYFUNCTION("""COMPUTED_VALUE"""),60000.0)</f>
        <v>60000</v>
      </c>
      <c r="F402" s="4">
        <f>IFERROR(__xludf.DUMMYFUNCTION("""COMPUTED_VALUE"""),60000.0)</f>
        <v>60000</v>
      </c>
      <c r="G402" s="4">
        <f>IFERROR(__xludf.DUMMYFUNCTION("""COMPUTED_VALUE"""),902.0)</f>
        <v>902</v>
      </c>
      <c r="H402" s="4">
        <f>IFERROR(__xludf.DUMMYFUNCTION("""COMPUTED_VALUE"""),678.0)</f>
        <v>678</v>
      </c>
      <c r="I402" s="2" t="str">
        <f>IFERROR(__xludf.DUMMYFUNCTION("""COMPUTED_VALUE"""),"random")</f>
        <v>random</v>
      </c>
      <c r="J402" s="2">
        <f t="shared" si="2"/>
        <v>19</v>
      </c>
      <c r="K402" s="2">
        <f t="shared" si="3"/>
        <v>2000000</v>
      </c>
      <c r="L402" s="2" t="str">
        <f t="shared" si="4"/>
        <v>P</v>
      </c>
    </row>
    <row r="403">
      <c r="A403" s="2" t="str">
        <f>IFERROR(__xludf.DUMMYFUNCTION("""COMPUTED_VALUE"""),"examples/random/dense_300_3_1")</f>
        <v>examples/random/dense_300_3_1</v>
      </c>
      <c r="B403" s="4">
        <f>IFERROR(__xludf.DUMMYFUNCTION("""COMPUTED_VALUE"""),2936.0)</f>
        <v>2936</v>
      </c>
      <c r="C403" s="4">
        <f>IFERROR(__xludf.DUMMYFUNCTION("""COMPUTED_VALUE"""),60.0)</f>
        <v>60</v>
      </c>
      <c r="D403" s="4">
        <f>IFERROR(__xludf.DUMMYFUNCTION("""COMPUTED_VALUE"""),1214.0)</f>
        <v>1214</v>
      </c>
      <c r="E403" s="4">
        <f>IFERROR(__xludf.DUMMYFUNCTION("""COMPUTED_VALUE"""),10.0)</f>
        <v>10</v>
      </c>
      <c r="F403" s="4">
        <f>IFERROR(__xludf.DUMMYFUNCTION("""COMPUTED_VALUE"""),14.0)</f>
        <v>14</v>
      </c>
      <c r="G403" s="4">
        <f>IFERROR(__xludf.DUMMYFUNCTION("""COMPUTED_VALUE"""),2.0)</f>
        <v>2</v>
      </c>
      <c r="H403" s="4">
        <f>IFERROR(__xludf.DUMMYFUNCTION("""COMPUTED_VALUE"""),0.0)</f>
        <v>0</v>
      </c>
      <c r="I403" s="2" t="str">
        <f>IFERROR(__xludf.DUMMYFUNCTION("""COMPUTED_VALUE"""),"random")</f>
        <v>random</v>
      </c>
      <c r="J403" s="2">
        <f t="shared" si="2"/>
        <v>10</v>
      </c>
      <c r="K403" s="2">
        <f t="shared" si="3"/>
        <v>2000</v>
      </c>
      <c r="L403" s="2" t="str">
        <f t="shared" si="4"/>
        <v>P</v>
      </c>
    </row>
    <row r="404">
      <c r="A404" s="2" t="str">
        <f>IFERROR(__xludf.DUMMYFUNCTION("""COMPUTED_VALUE"""),"examples/random/sparse_3000_1_2")</f>
        <v>examples/random/sparse_3000_1_2</v>
      </c>
      <c r="B404" s="4">
        <f>IFERROR(__xludf.DUMMYFUNCTION("""COMPUTED_VALUE"""),6000.0)</f>
        <v>6000</v>
      </c>
      <c r="C404" s="4">
        <f>IFERROR(__xludf.DUMMYFUNCTION("""COMPUTED_VALUE"""),60.0)</f>
        <v>60</v>
      </c>
      <c r="D404" s="4">
        <f>IFERROR(__xludf.DUMMYFUNCTION("""COMPUTED_VALUE"""),1567.0)</f>
        <v>1567</v>
      </c>
      <c r="E404" s="4">
        <f>IFERROR(__xludf.DUMMYFUNCTION("""COMPUTED_VALUE"""),6.0)</f>
        <v>6</v>
      </c>
      <c r="F404" s="4">
        <f>IFERROR(__xludf.DUMMYFUNCTION("""COMPUTED_VALUE"""),5.0)</f>
        <v>5</v>
      </c>
      <c r="G404" s="4">
        <f>IFERROR(__xludf.DUMMYFUNCTION("""COMPUTED_VALUE"""),36.0)</f>
        <v>36</v>
      </c>
      <c r="H404" s="4">
        <f>IFERROR(__xludf.DUMMYFUNCTION("""COMPUTED_VALUE"""),4.0)</f>
        <v>4</v>
      </c>
      <c r="I404" s="2" t="str">
        <f>IFERROR(__xludf.DUMMYFUNCTION("""COMPUTED_VALUE"""),"random")</f>
        <v>random</v>
      </c>
      <c r="J404" s="2">
        <f t="shared" si="2"/>
        <v>11</v>
      </c>
      <c r="K404" s="2">
        <f t="shared" si="3"/>
        <v>5000</v>
      </c>
      <c r="L404" s="2" t="str">
        <f t="shared" si="4"/>
        <v>P</v>
      </c>
    </row>
    <row r="405">
      <c r="A405" s="2" t="str">
        <f>IFERROR(__xludf.DUMMYFUNCTION("""COMPUTED_VALUE"""),"examples/random/sparse_100000_2_9")</f>
        <v>examples/random/sparse_100000_2_9</v>
      </c>
      <c r="B405" s="4">
        <f>IFERROR(__xludf.DUMMYFUNCTION("""COMPUTED_VALUE"""),300000.0)</f>
        <v>300000</v>
      </c>
      <c r="C405" s="4">
        <f>IFERROR(__xludf.DUMMYFUNCTION("""COMPUTED_VALUE"""),60.0)</f>
        <v>60</v>
      </c>
      <c r="D405" s="4">
        <f>IFERROR(__xludf.DUMMYFUNCTION("""COMPUTED_VALUE"""),60000.0)</f>
        <v>60000</v>
      </c>
      <c r="E405" s="4">
        <f>IFERROR(__xludf.DUMMYFUNCTION("""COMPUTED_VALUE"""),60000.0)</f>
        <v>60000</v>
      </c>
      <c r="F405" s="4">
        <f>IFERROR(__xludf.DUMMYFUNCTION("""COMPUTED_VALUE"""),60000.0)</f>
        <v>60000</v>
      </c>
      <c r="G405" s="4">
        <f>IFERROR(__xludf.DUMMYFUNCTION("""COMPUTED_VALUE"""),1175.0)</f>
        <v>1175</v>
      </c>
      <c r="H405" s="4">
        <f>IFERROR(__xludf.DUMMYFUNCTION("""COMPUTED_VALUE"""),239.0)</f>
        <v>239</v>
      </c>
      <c r="I405" s="2" t="str">
        <f>IFERROR(__xludf.DUMMYFUNCTION("""COMPUTED_VALUE"""),"random")</f>
        <v>random</v>
      </c>
      <c r="J405" s="2">
        <f t="shared" si="2"/>
        <v>16</v>
      </c>
      <c r="K405" s="2">
        <f t="shared" si="3"/>
        <v>200000</v>
      </c>
      <c r="L405" s="2" t="str">
        <f t="shared" si="4"/>
        <v>P</v>
      </c>
    </row>
    <row r="406">
      <c r="A406" s="2" t="str">
        <f>IFERROR(__xludf.DUMMYFUNCTION("""COMPUTED_VALUE"""),"examples/random/dense_1000_3_7")</f>
        <v>examples/random/dense_1000_3_7</v>
      </c>
      <c r="B406" s="4">
        <f>IFERROR(__xludf.DUMMYFUNCTION("""COMPUTED_VALUE"""),30958.0)</f>
        <v>30958</v>
      </c>
      <c r="C406" s="4">
        <f>IFERROR(__xludf.DUMMYFUNCTION("""COMPUTED_VALUE"""),60.0)</f>
        <v>60</v>
      </c>
      <c r="D406" s="4">
        <f>IFERROR(__xludf.DUMMYFUNCTION("""COMPUTED_VALUE"""),60000.0)</f>
        <v>60000</v>
      </c>
      <c r="E406" s="4">
        <f>IFERROR(__xludf.DUMMYFUNCTION("""COMPUTED_VALUE"""),437.0)</f>
        <v>437</v>
      </c>
      <c r="F406" s="4">
        <f>IFERROR(__xludf.DUMMYFUNCTION("""COMPUTED_VALUE"""),664.0)</f>
        <v>664</v>
      </c>
      <c r="G406" s="4">
        <f>IFERROR(__xludf.DUMMYFUNCTION("""COMPUTED_VALUE"""),14.0)</f>
        <v>14</v>
      </c>
      <c r="H406" s="4">
        <f>IFERROR(__xludf.DUMMYFUNCTION("""COMPUTED_VALUE"""),6.0)</f>
        <v>6</v>
      </c>
      <c r="I406" s="2" t="str">
        <f>IFERROR(__xludf.DUMMYFUNCTION("""COMPUTED_VALUE"""),"random")</f>
        <v>random</v>
      </c>
      <c r="J406" s="2">
        <f t="shared" si="2"/>
        <v>13</v>
      </c>
      <c r="K406" s="2">
        <f t="shared" si="3"/>
        <v>20000</v>
      </c>
      <c r="L406" s="2" t="str">
        <f t="shared" si="4"/>
        <v>P</v>
      </c>
    </row>
    <row r="407">
      <c r="A407" s="2" t="str">
        <f>IFERROR(__xludf.DUMMYFUNCTION("""COMPUTED_VALUE"""),"examples/random/sparse_300_3_9")</f>
        <v>examples/random/sparse_300_3_9</v>
      </c>
      <c r="B407" s="4">
        <f>IFERROR(__xludf.DUMMYFUNCTION("""COMPUTED_VALUE"""),1200.0)</f>
        <v>1200</v>
      </c>
      <c r="C407" s="4">
        <f>IFERROR(__xludf.DUMMYFUNCTION("""COMPUTED_VALUE"""),60.0)</f>
        <v>60</v>
      </c>
      <c r="D407" s="4">
        <f>IFERROR(__xludf.DUMMYFUNCTION("""COMPUTED_VALUE"""),332.0)</f>
        <v>332</v>
      </c>
      <c r="E407" s="4">
        <f>IFERROR(__xludf.DUMMYFUNCTION("""COMPUTED_VALUE"""),2.0)</f>
        <v>2</v>
      </c>
      <c r="F407" s="4">
        <f>IFERROR(__xludf.DUMMYFUNCTION("""COMPUTED_VALUE"""),4.0)</f>
        <v>4</v>
      </c>
      <c r="G407" s="4">
        <f>IFERROR(__xludf.DUMMYFUNCTION("""COMPUTED_VALUE"""),2.0)</f>
        <v>2</v>
      </c>
      <c r="H407" s="4">
        <f>IFERROR(__xludf.DUMMYFUNCTION("""COMPUTED_VALUE"""),0.0)</f>
        <v>0</v>
      </c>
      <c r="I407" s="2" t="str">
        <f>IFERROR(__xludf.DUMMYFUNCTION("""COMPUTED_VALUE"""),"random")</f>
        <v>random</v>
      </c>
      <c r="J407" s="2">
        <f t="shared" si="2"/>
        <v>9</v>
      </c>
      <c r="K407" s="2">
        <f t="shared" si="3"/>
        <v>1000</v>
      </c>
      <c r="L407" s="2" t="str">
        <f t="shared" si="4"/>
        <v>P</v>
      </c>
    </row>
    <row r="408">
      <c r="A408" s="2" t="str">
        <f>IFERROR(__xludf.DUMMYFUNCTION("""COMPUTED_VALUE"""),"examples/random/sparse_300_1_7")</f>
        <v>examples/random/sparse_300_1_7</v>
      </c>
      <c r="B408" s="4">
        <f>IFERROR(__xludf.DUMMYFUNCTION("""COMPUTED_VALUE"""),600.0)</f>
        <v>600</v>
      </c>
      <c r="C408" s="4">
        <f>IFERROR(__xludf.DUMMYFUNCTION("""COMPUTED_VALUE"""),60.0)</f>
        <v>60</v>
      </c>
      <c r="D408" s="4">
        <f>IFERROR(__xludf.DUMMYFUNCTION("""COMPUTED_VALUE"""),14.0)</f>
        <v>14</v>
      </c>
      <c r="E408" s="4">
        <f>IFERROR(__xludf.DUMMYFUNCTION("""COMPUTED_VALUE"""),0.0)</f>
        <v>0</v>
      </c>
      <c r="F408" s="4">
        <f>IFERROR(__xludf.DUMMYFUNCTION("""COMPUTED_VALUE"""),0.0)</f>
        <v>0</v>
      </c>
      <c r="G408" s="4">
        <f>IFERROR(__xludf.DUMMYFUNCTION("""COMPUTED_VALUE"""),2.0)</f>
        <v>2</v>
      </c>
      <c r="H408" s="4">
        <f>IFERROR(__xludf.DUMMYFUNCTION("""COMPUTED_VALUE"""),0.0)</f>
        <v>0</v>
      </c>
      <c r="I408" s="2" t="str">
        <f>IFERROR(__xludf.DUMMYFUNCTION("""COMPUTED_VALUE"""),"random")</f>
        <v>random</v>
      </c>
      <c r="J408" s="2">
        <f t="shared" si="2"/>
        <v>8</v>
      </c>
      <c r="K408" s="2">
        <f t="shared" si="3"/>
        <v>500</v>
      </c>
      <c r="L408" s="2" t="str">
        <f t="shared" si="4"/>
        <v>BP</v>
      </c>
    </row>
    <row r="409">
      <c r="A409" s="2" t="str">
        <f>IFERROR(__xludf.DUMMYFUNCTION("""COMPUTED_VALUE"""),"examples/random/dense_1000_1_9")</f>
        <v>examples/random/dense_1000_1_9</v>
      </c>
      <c r="B409" s="4">
        <f>IFERROR(__xludf.DUMMYFUNCTION("""COMPUTED_VALUE"""),11045.0)</f>
        <v>11045</v>
      </c>
      <c r="C409" s="4">
        <f>IFERROR(__xludf.DUMMYFUNCTION("""COMPUTED_VALUE"""),60.0)</f>
        <v>60</v>
      </c>
      <c r="D409" s="4">
        <f>IFERROR(__xludf.DUMMYFUNCTION("""COMPUTED_VALUE"""),50080.0)</f>
        <v>50080</v>
      </c>
      <c r="E409" s="4">
        <f>IFERROR(__xludf.DUMMYFUNCTION("""COMPUTED_VALUE"""),147.0)</f>
        <v>147</v>
      </c>
      <c r="F409" s="4">
        <f>IFERROR(__xludf.DUMMYFUNCTION("""COMPUTED_VALUE"""),194.0)</f>
        <v>194</v>
      </c>
      <c r="G409" s="4">
        <f>IFERROR(__xludf.DUMMYFUNCTION("""COMPUTED_VALUE"""),8.0)</f>
        <v>8</v>
      </c>
      <c r="H409" s="4">
        <f>IFERROR(__xludf.DUMMYFUNCTION("""COMPUTED_VALUE"""),2.0)</f>
        <v>2</v>
      </c>
      <c r="I409" s="2" t="str">
        <f>IFERROR(__xludf.DUMMYFUNCTION("""COMPUTED_VALUE"""),"random")</f>
        <v>random</v>
      </c>
      <c r="J409" s="2">
        <f t="shared" si="2"/>
        <v>12</v>
      </c>
      <c r="K409" s="2">
        <f t="shared" si="3"/>
        <v>10000</v>
      </c>
      <c r="L409" s="2" t="str">
        <f t="shared" si="4"/>
        <v>P</v>
      </c>
    </row>
    <row r="410">
      <c r="A410" s="2" t="str">
        <f>IFERROR(__xludf.DUMMYFUNCTION("""COMPUTED_VALUE"""),"examples/random/dense_3000_2_6")</f>
        <v>examples/random/dense_3000_2_6</v>
      </c>
      <c r="B410" s="4">
        <f>IFERROR(__xludf.DUMMYFUNCTION("""COMPUTED_VALUE"""),183315.0)</f>
        <v>183315</v>
      </c>
      <c r="C410" s="4">
        <f>IFERROR(__xludf.DUMMYFUNCTION("""COMPUTED_VALUE"""),60.0)</f>
        <v>60</v>
      </c>
      <c r="D410" s="4">
        <f>IFERROR(__xludf.DUMMYFUNCTION("""COMPUTED_VALUE"""),60000.0)</f>
        <v>60000</v>
      </c>
      <c r="E410" s="4">
        <f>IFERROR(__xludf.DUMMYFUNCTION("""COMPUTED_VALUE"""),8507.0)</f>
        <v>8507</v>
      </c>
      <c r="F410" s="4">
        <f>IFERROR(__xludf.DUMMYFUNCTION("""COMPUTED_VALUE"""),18711.0)</f>
        <v>18711</v>
      </c>
      <c r="G410" s="4">
        <f>IFERROR(__xludf.DUMMYFUNCTION("""COMPUTED_VALUE"""),70.0)</f>
        <v>70</v>
      </c>
      <c r="H410" s="4">
        <f>IFERROR(__xludf.DUMMYFUNCTION("""COMPUTED_VALUE"""),40.0)</f>
        <v>40</v>
      </c>
      <c r="I410" s="2" t="str">
        <f>IFERROR(__xludf.DUMMYFUNCTION("""COMPUTED_VALUE"""),"random")</f>
        <v>random</v>
      </c>
      <c r="J410" s="2">
        <f t="shared" si="2"/>
        <v>16</v>
      </c>
      <c r="K410" s="2">
        <f t="shared" si="3"/>
        <v>200000</v>
      </c>
      <c r="L410" s="2" t="str">
        <f t="shared" si="4"/>
        <v>P</v>
      </c>
    </row>
    <row r="411">
      <c r="A411" s="2" t="str">
        <f>IFERROR(__xludf.DUMMYFUNCTION("""COMPUTED_VALUE"""),"examples/random/sparse_100_3_4")</f>
        <v>examples/random/sparse_100_3_4</v>
      </c>
      <c r="B411" s="4">
        <f>IFERROR(__xludf.DUMMYFUNCTION("""COMPUTED_VALUE"""),400.0)</f>
        <v>400</v>
      </c>
      <c r="C411" s="4">
        <f>IFERROR(__xludf.DUMMYFUNCTION("""COMPUTED_VALUE"""),60.0)</f>
        <v>60</v>
      </c>
      <c r="D411" s="4">
        <f>IFERROR(__xludf.DUMMYFUNCTION("""COMPUTED_VALUE"""),15.0)</f>
        <v>15</v>
      </c>
      <c r="E411" s="4">
        <f>IFERROR(__xludf.DUMMYFUNCTION("""COMPUTED_VALUE"""),0.0)</f>
        <v>0</v>
      </c>
      <c r="F411" s="4">
        <f>IFERROR(__xludf.DUMMYFUNCTION("""COMPUTED_VALUE"""),0.0)</f>
        <v>0</v>
      </c>
      <c r="G411" s="4">
        <f>IFERROR(__xludf.DUMMYFUNCTION("""COMPUTED_VALUE"""),0.0)</f>
        <v>0</v>
      </c>
      <c r="H411" s="4">
        <f>IFERROR(__xludf.DUMMYFUNCTION("""COMPUTED_VALUE"""),0.0)</f>
        <v>0</v>
      </c>
      <c r="I411" s="2" t="str">
        <f>IFERROR(__xludf.DUMMYFUNCTION("""COMPUTED_VALUE"""),"random")</f>
        <v>random</v>
      </c>
      <c r="J411" s="2">
        <f t="shared" si="2"/>
        <v>8</v>
      </c>
      <c r="K411" s="2">
        <f t="shared" si="3"/>
        <v>500</v>
      </c>
      <c r="L411" s="2">
        <f t="shared" si="4"/>
        <v>0</v>
      </c>
    </row>
    <row r="412">
      <c r="A412" s="2" t="str">
        <f>IFERROR(__xludf.DUMMYFUNCTION("""COMPUTED_VALUE"""),"examples/random/sparse_10000_2_4")</f>
        <v>examples/random/sparse_10000_2_4</v>
      </c>
      <c r="B412" s="4">
        <f>IFERROR(__xludf.DUMMYFUNCTION("""COMPUTED_VALUE"""),30000.0)</f>
        <v>30000</v>
      </c>
      <c r="C412" s="4">
        <f>IFERROR(__xludf.DUMMYFUNCTION("""COMPUTED_VALUE"""),60.0)</f>
        <v>60</v>
      </c>
      <c r="D412" s="4">
        <f>IFERROR(__xludf.DUMMYFUNCTION("""COMPUTED_VALUE"""),60000.0)</f>
        <v>60000</v>
      </c>
      <c r="E412" s="4">
        <f>IFERROR(__xludf.DUMMYFUNCTION("""COMPUTED_VALUE"""),1383.0)</f>
        <v>1383</v>
      </c>
      <c r="F412" s="4">
        <f>IFERROR(__xludf.DUMMYFUNCTION("""COMPUTED_VALUE"""),2505.0)</f>
        <v>2505</v>
      </c>
      <c r="G412" s="4">
        <f>IFERROR(__xludf.DUMMYFUNCTION("""COMPUTED_VALUE"""),84.0)</f>
        <v>84</v>
      </c>
      <c r="H412" s="4">
        <f>IFERROR(__xludf.DUMMYFUNCTION("""COMPUTED_VALUE"""),16.0)</f>
        <v>16</v>
      </c>
      <c r="I412" s="2" t="str">
        <f>IFERROR(__xludf.DUMMYFUNCTION("""COMPUTED_VALUE"""),"random")</f>
        <v>random</v>
      </c>
      <c r="J412" s="2">
        <f t="shared" si="2"/>
        <v>13</v>
      </c>
      <c r="K412" s="2">
        <f t="shared" si="3"/>
        <v>20000</v>
      </c>
      <c r="L412" s="2" t="str">
        <f t="shared" si="4"/>
        <v>P</v>
      </c>
    </row>
    <row r="413">
      <c r="A413" s="2" t="str">
        <f>IFERROR(__xludf.DUMMYFUNCTION("""COMPUTED_VALUE"""),"examples/random/sparse_30000_10_6")</f>
        <v>examples/random/sparse_30000_10_6</v>
      </c>
      <c r="B413" s="4">
        <f>IFERROR(__xludf.DUMMYFUNCTION("""COMPUTED_VALUE"""),330000.0)</f>
        <v>330000</v>
      </c>
      <c r="C413" s="4">
        <f>IFERROR(__xludf.DUMMYFUNCTION("""COMPUTED_VALUE"""),60.0)</f>
        <v>60</v>
      </c>
      <c r="D413" s="4">
        <f>IFERROR(__xludf.DUMMYFUNCTION("""COMPUTED_VALUE"""),60000.0)</f>
        <v>60000</v>
      </c>
      <c r="E413" s="4">
        <f>IFERROR(__xludf.DUMMYFUNCTION("""COMPUTED_VALUE"""),60000.0)</f>
        <v>60000</v>
      </c>
      <c r="F413" s="4">
        <f>IFERROR(__xludf.DUMMYFUNCTION("""COMPUTED_VALUE"""),60000.0)</f>
        <v>60000</v>
      </c>
      <c r="G413" s="4">
        <f>IFERROR(__xludf.DUMMYFUNCTION("""COMPUTED_VALUE"""),422.0)</f>
        <v>422</v>
      </c>
      <c r="H413" s="4">
        <f>IFERROR(__xludf.DUMMYFUNCTION("""COMPUTED_VALUE"""),136.0)</f>
        <v>136</v>
      </c>
      <c r="I413" s="2" t="str">
        <f>IFERROR(__xludf.DUMMYFUNCTION("""COMPUTED_VALUE"""),"random")</f>
        <v>random</v>
      </c>
      <c r="J413" s="2">
        <f t="shared" si="2"/>
        <v>17</v>
      </c>
      <c r="K413" s="2">
        <f t="shared" si="3"/>
        <v>500000</v>
      </c>
      <c r="L413" s="2" t="str">
        <f t="shared" si="4"/>
        <v>P</v>
      </c>
    </row>
    <row r="414">
      <c r="A414" s="2" t="str">
        <f>IFERROR(__xludf.DUMMYFUNCTION("""COMPUTED_VALUE"""),"examples/random/sparse_100_10_5")</f>
        <v>examples/random/sparse_100_10_5</v>
      </c>
      <c r="B414" s="4">
        <f>IFERROR(__xludf.DUMMYFUNCTION("""COMPUTED_VALUE"""),1100.0)</f>
        <v>1100</v>
      </c>
      <c r="C414" s="4">
        <f>IFERROR(__xludf.DUMMYFUNCTION("""COMPUTED_VALUE"""),60.0)</f>
        <v>60</v>
      </c>
      <c r="D414" s="4">
        <f>IFERROR(__xludf.DUMMYFUNCTION("""COMPUTED_VALUE"""),50.0)</f>
        <v>50</v>
      </c>
      <c r="E414" s="4">
        <f>IFERROR(__xludf.DUMMYFUNCTION("""COMPUTED_VALUE"""),1.0)</f>
        <v>1</v>
      </c>
      <c r="F414" s="4">
        <f>IFERROR(__xludf.DUMMYFUNCTION("""COMPUTED_VALUE"""),2.0)</f>
        <v>2</v>
      </c>
      <c r="G414" s="4">
        <f>IFERROR(__xludf.DUMMYFUNCTION("""COMPUTED_VALUE"""),0.0)</f>
        <v>0</v>
      </c>
      <c r="H414" s="4">
        <f>IFERROR(__xludf.DUMMYFUNCTION("""COMPUTED_VALUE"""),0.0)</f>
        <v>0</v>
      </c>
      <c r="I414" s="2" t="str">
        <f>IFERROR(__xludf.DUMMYFUNCTION("""COMPUTED_VALUE"""),"random")</f>
        <v>random</v>
      </c>
      <c r="J414" s="2">
        <f t="shared" si="2"/>
        <v>9</v>
      </c>
      <c r="K414" s="2">
        <f t="shared" si="3"/>
        <v>1000</v>
      </c>
      <c r="L414" s="2" t="str">
        <f t="shared" si="4"/>
        <v>JP</v>
      </c>
    </row>
    <row r="415">
      <c r="A415" s="2" t="str">
        <f>IFERROR(__xludf.DUMMYFUNCTION("""COMPUTED_VALUE"""),"examples/random/sparse_300_2_3")</f>
        <v>examples/random/sparse_300_2_3</v>
      </c>
      <c r="B415" s="4">
        <f>IFERROR(__xludf.DUMMYFUNCTION("""COMPUTED_VALUE"""),900.0)</f>
        <v>900</v>
      </c>
      <c r="C415" s="4">
        <f>IFERROR(__xludf.DUMMYFUNCTION("""COMPUTED_VALUE"""),60.0)</f>
        <v>60</v>
      </c>
      <c r="D415" s="4">
        <f>IFERROR(__xludf.DUMMYFUNCTION("""COMPUTED_VALUE"""),157.0)</f>
        <v>157</v>
      </c>
      <c r="E415" s="4">
        <f>IFERROR(__xludf.DUMMYFUNCTION("""COMPUTED_VALUE"""),1.0)</f>
        <v>1</v>
      </c>
      <c r="F415" s="4">
        <f>IFERROR(__xludf.DUMMYFUNCTION("""COMPUTED_VALUE"""),2.0)</f>
        <v>2</v>
      </c>
      <c r="G415" s="4">
        <f>IFERROR(__xludf.DUMMYFUNCTION("""COMPUTED_VALUE"""),2.0)</f>
        <v>2</v>
      </c>
      <c r="H415" s="4">
        <f>IFERROR(__xludf.DUMMYFUNCTION("""COMPUTED_VALUE"""),0.0)</f>
        <v>0</v>
      </c>
      <c r="I415" s="2" t="str">
        <f>IFERROR(__xludf.DUMMYFUNCTION("""COMPUTED_VALUE"""),"random")</f>
        <v>random</v>
      </c>
      <c r="J415" s="2">
        <f t="shared" si="2"/>
        <v>9</v>
      </c>
      <c r="K415" s="2">
        <f t="shared" si="3"/>
        <v>1000</v>
      </c>
      <c r="L415" s="2" t="str">
        <f t="shared" si="4"/>
        <v>P</v>
      </c>
    </row>
    <row r="416">
      <c r="A416" s="2" t="str">
        <f>IFERROR(__xludf.DUMMYFUNCTION("""COMPUTED_VALUE"""),"examples/random/sparse_10000_10_1")</f>
        <v>examples/random/sparse_10000_10_1</v>
      </c>
      <c r="B416" s="4">
        <f>IFERROR(__xludf.DUMMYFUNCTION("""COMPUTED_VALUE"""),110000.0)</f>
        <v>110000</v>
      </c>
      <c r="C416" s="4">
        <f>IFERROR(__xludf.DUMMYFUNCTION("""COMPUTED_VALUE"""),60.0)</f>
        <v>60</v>
      </c>
      <c r="D416" s="4">
        <f>IFERROR(__xludf.DUMMYFUNCTION("""COMPUTED_VALUE"""),60000.0)</f>
        <v>60000</v>
      </c>
      <c r="E416" s="4">
        <f>IFERROR(__xludf.DUMMYFUNCTION("""COMPUTED_VALUE"""),16142.0)</f>
        <v>16142</v>
      </c>
      <c r="F416" s="4">
        <f>IFERROR(__xludf.DUMMYFUNCTION("""COMPUTED_VALUE"""),22937.0)</f>
        <v>22937</v>
      </c>
      <c r="G416" s="4">
        <f>IFERROR(__xludf.DUMMYFUNCTION("""COMPUTED_VALUE"""),103.0)</f>
        <v>103</v>
      </c>
      <c r="H416" s="4">
        <f>IFERROR(__xludf.DUMMYFUNCTION("""COMPUTED_VALUE"""),36.0)</f>
        <v>36</v>
      </c>
      <c r="I416" s="2" t="str">
        <f>IFERROR(__xludf.DUMMYFUNCTION("""COMPUTED_VALUE"""),"random")</f>
        <v>random</v>
      </c>
      <c r="J416" s="2">
        <f t="shared" si="2"/>
        <v>15</v>
      </c>
      <c r="K416" s="2">
        <f t="shared" si="3"/>
        <v>100000</v>
      </c>
      <c r="L416" s="2" t="str">
        <f t="shared" si="4"/>
        <v>P</v>
      </c>
    </row>
    <row r="417">
      <c r="A417" s="2" t="str">
        <f>IFERROR(__xludf.DUMMYFUNCTION("""COMPUTED_VALUE"""),"examples/random/dense_3000_1_2")</f>
        <v>examples/random/dense_3000_1_2</v>
      </c>
      <c r="B417" s="4">
        <f>IFERROR(__xludf.DUMMYFUNCTION("""COMPUTED_VALUE"""),92973.0)</f>
        <v>92973</v>
      </c>
      <c r="C417" s="4">
        <f>IFERROR(__xludf.DUMMYFUNCTION("""COMPUTED_VALUE"""),60.0)</f>
        <v>60</v>
      </c>
      <c r="D417" s="4">
        <f>IFERROR(__xludf.DUMMYFUNCTION("""COMPUTED_VALUE"""),60000.0)</f>
        <v>60000</v>
      </c>
      <c r="E417" s="4">
        <f>IFERROR(__xludf.DUMMYFUNCTION("""COMPUTED_VALUE"""),4243.0)</f>
        <v>4243</v>
      </c>
      <c r="F417" s="4">
        <f>IFERROR(__xludf.DUMMYFUNCTION("""COMPUTED_VALUE"""),6942.0)</f>
        <v>6942</v>
      </c>
      <c r="G417" s="4">
        <f>IFERROR(__xludf.DUMMYFUNCTION("""COMPUTED_VALUE"""),43.0)</f>
        <v>43</v>
      </c>
      <c r="H417" s="4">
        <f>IFERROR(__xludf.DUMMYFUNCTION("""COMPUTED_VALUE"""),20.0)</f>
        <v>20</v>
      </c>
      <c r="I417" s="2" t="str">
        <f>IFERROR(__xludf.DUMMYFUNCTION("""COMPUTED_VALUE"""),"random")</f>
        <v>random</v>
      </c>
      <c r="J417" s="2">
        <f t="shared" si="2"/>
        <v>15</v>
      </c>
      <c r="K417" s="2">
        <f t="shared" si="3"/>
        <v>100000</v>
      </c>
      <c r="L417" s="2" t="str">
        <f t="shared" si="4"/>
        <v>P</v>
      </c>
    </row>
    <row r="418">
      <c r="A418" s="2" t="str">
        <f>IFERROR(__xludf.DUMMYFUNCTION("""COMPUTED_VALUE"""),"examples/random/sparse_30000_1_4")</f>
        <v>examples/random/sparse_30000_1_4</v>
      </c>
      <c r="B418" s="4">
        <f>IFERROR(__xludf.DUMMYFUNCTION("""COMPUTED_VALUE"""),60000.0)</f>
        <v>60000</v>
      </c>
      <c r="C418" s="4">
        <f>IFERROR(__xludf.DUMMYFUNCTION("""COMPUTED_VALUE"""),60.0)</f>
        <v>60</v>
      </c>
      <c r="D418" s="4">
        <f>IFERROR(__xludf.DUMMYFUNCTION("""COMPUTED_VALUE"""),60000.0)</f>
        <v>60000</v>
      </c>
      <c r="E418" s="4">
        <f>IFERROR(__xludf.DUMMYFUNCTION("""COMPUTED_VALUE"""),76.0)</f>
        <v>76</v>
      </c>
      <c r="F418" s="4">
        <f>IFERROR(__xludf.DUMMYFUNCTION("""COMPUTED_VALUE"""),68.0)</f>
        <v>68</v>
      </c>
      <c r="G418" s="4">
        <f>IFERROR(__xludf.DUMMYFUNCTION("""COMPUTED_VALUE"""),383.0)</f>
        <v>383</v>
      </c>
      <c r="H418" s="4">
        <f>IFERROR(__xludf.DUMMYFUNCTION("""COMPUTED_VALUE"""),51.0)</f>
        <v>51</v>
      </c>
      <c r="I418" s="2" t="str">
        <f>IFERROR(__xludf.DUMMYFUNCTION("""COMPUTED_VALUE"""),"random")</f>
        <v>random</v>
      </c>
      <c r="J418" s="2">
        <f t="shared" si="2"/>
        <v>14</v>
      </c>
      <c r="K418" s="2">
        <f t="shared" si="3"/>
        <v>50000</v>
      </c>
      <c r="L418" s="2" t="str">
        <f t="shared" si="4"/>
        <v>P</v>
      </c>
    </row>
    <row r="419">
      <c r="A419" s="2" t="str">
        <f>IFERROR(__xludf.DUMMYFUNCTION("""COMPUTED_VALUE"""),"examples/random/sparse_300_2_10")</f>
        <v>examples/random/sparse_300_2_10</v>
      </c>
      <c r="B419" s="4">
        <f>IFERROR(__xludf.DUMMYFUNCTION("""COMPUTED_VALUE"""),900.0)</f>
        <v>900</v>
      </c>
      <c r="C419" s="4">
        <f>IFERROR(__xludf.DUMMYFUNCTION("""COMPUTED_VALUE"""),60.0)</f>
        <v>60</v>
      </c>
      <c r="D419" s="4">
        <f>IFERROR(__xludf.DUMMYFUNCTION("""COMPUTED_VALUE"""),161.0)</f>
        <v>161</v>
      </c>
      <c r="E419" s="4">
        <f>IFERROR(__xludf.DUMMYFUNCTION("""COMPUTED_VALUE"""),1.0)</f>
        <v>1</v>
      </c>
      <c r="F419" s="4">
        <f>IFERROR(__xludf.DUMMYFUNCTION("""COMPUTED_VALUE"""),2.0)</f>
        <v>2</v>
      </c>
      <c r="G419" s="4">
        <f>IFERROR(__xludf.DUMMYFUNCTION("""COMPUTED_VALUE"""),2.0)</f>
        <v>2</v>
      </c>
      <c r="H419" s="4">
        <f>IFERROR(__xludf.DUMMYFUNCTION("""COMPUTED_VALUE"""),0.0)</f>
        <v>0</v>
      </c>
      <c r="I419" s="2" t="str">
        <f>IFERROR(__xludf.DUMMYFUNCTION("""COMPUTED_VALUE"""),"random")</f>
        <v>random</v>
      </c>
      <c r="J419" s="2">
        <f t="shared" si="2"/>
        <v>9</v>
      </c>
      <c r="K419" s="2">
        <f t="shared" si="3"/>
        <v>1000</v>
      </c>
      <c r="L419" s="2" t="str">
        <f t="shared" si="4"/>
        <v>P</v>
      </c>
    </row>
    <row r="420">
      <c r="A420" s="2" t="str">
        <f>IFERROR(__xludf.DUMMYFUNCTION("""COMPUTED_VALUE"""),"examples/random/dense_10000_2_8")</f>
        <v>examples/random/dense_10000_2_8</v>
      </c>
      <c r="B420" s="4">
        <f>IFERROR(__xludf.DUMMYFUNCTION("""COMPUTED_VALUE"""),2013124.0)</f>
        <v>2013124</v>
      </c>
      <c r="C420" s="4">
        <f>IFERROR(__xludf.DUMMYFUNCTION("""COMPUTED_VALUE"""),60.0)</f>
        <v>60</v>
      </c>
      <c r="D420" s="4">
        <f>IFERROR(__xludf.DUMMYFUNCTION("""COMPUTED_VALUE"""),60000.0)</f>
        <v>60000</v>
      </c>
      <c r="E420" s="4">
        <f>IFERROR(__xludf.DUMMYFUNCTION("""COMPUTED_VALUE"""),60000.0)</f>
        <v>60000</v>
      </c>
      <c r="F420" s="4">
        <f>IFERROR(__xludf.DUMMYFUNCTION("""COMPUTED_VALUE"""),60000.0)</f>
        <v>60000</v>
      </c>
      <c r="G420" s="4">
        <f>IFERROR(__xludf.DUMMYFUNCTION("""COMPUTED_VALUE"""),636.0)</f>
        <v>636</v>
      </c>
      <c r="H420" s="4">
        <f>IFERROR(__xludf.DUMMYFUNCTION("""COMPUTED_VALUE"""),444.0)</f>
        <v>444</v>
      </c>
      <c r="I420" s="2" t="str">
        <f>IFERROR(__xludf.DUMMYFUNCTION("""COMPUTED_VALUE"""),"random")</f>
        <v>random</v>
      </c>
      <c r="J420" s="2">
        <f t="shared" si="2"/>
        <v>19</v>
      </c>
      <c r="K420" s="2">
        <f t="shared" si="3"/>
        <v>2000000</v>
      </c>
      <c r="L420" s="2" t="str">
        <f t="shared" si="4"/>
        <v>P</v>
      </c>
    </row>
    <row r="421">
      <c r="A421" s="2" t="str">
        <f>IFERROR(__xludf.DUMMYFUNCTION("""COMPUTED_VALUE"""),"examples/random/sparse_3000_3_10")</f>
        <v>examples/random/sparse_3000_3_10</v>
      </c>
      <c r="B421" s="4">
        <f>IFERROR(__xludf.DUMMYFUNCTION("""COMPUTED_VALUE"""),12000.0)</f>
        <v>12000</v>
      </c>
      <c r="C421" s="4">
        <f>IFERROR(__xludf.DUMMYFUNCTION("""COMPUTED_VALUE"""),60.0)</f>
        <v>60</v>
      </c>
      <c r="D421" s="4">
        <f>IFERROR(__xludf.DUMMYFUNCTION("""COMPUTED_VALUE"""),60000.0)</f>
        <v>60000</v>
      </c>
      <c r="E421" s="4">
        <f>IFERROR(__xludf.DUMMYFUNCTION("""COMPUTED_VALUE"""),277.0)</f>
        <v>277</v>
      </c>
      <c r="F421" s="4">
        <f>IFERROR(__xludf.DUMMYFUNCTION("""COMPUTED_VALUE"""),483.0)</f>
        <v>483</v>
      </c>
      <c r="G421" s="4">
        <f>IFERROR(__xludf.DUMMYFUNCTION("""COMPUTED_VALUE"""),25.0)</f>
        <v>25</v>
      </c>
      <c r="H421" s="4">
        <f>IFERROR(__xludf.DUMMYFUNCTION("""COMPUTED_VALUE"""),5.0)</f>
        <v>5</v>
      </c>
      <c r="I421" s="2" t="str">
        <f>IFERROR(__xludf.DUMMYFUNCTION("""COMPUTED_VALUE"""),"random")</f>
        <v>random</v>
      </c>
      <c r="J421" s="2">
        <f t="shared" si="2"/>
        <v>12</v>
      </c>
      <c r="K421" s="2">
        <f t="shared" si="3"/>
        <v>10000</v>
      </c>
      <c r="L421" s="2" t="str">
        <f t="shared" si="4"/>
        <v>P</v>
      </c>
    </row>
    <row r="422">
      <c r="A422" s="2" t="str">
        <f>IFERROR(__xludf.DUMMYFUNCTION("""COMPUTED_VALUE"""),"examples/random/sparse_100000_3_2")</f>
        <v>examples/random/sparse_100000_3_2</v>
      </c>
      <c r="B422" s="4">
        <f>IFERROR(__xludf.DUMMYFUNCTION("""COMPUTED_VALUE"""),400000.0)</f>
        <v>400000</v>
      </c>
      <c r="C422" s="4">
        <f>IFERROR(__xludf.DUMMYFUNCTION("""COMPUTED_VALUE"""),60.0)</f>
        <v>60</v>
      </c>
      <c r="D422" s="4">
        <f>IFERROR(__xludf.DUMMYFUNCTION("""COMPUTED_VALUE"""),60000.0)</f>
        <v>60000</v>
      </c>
      <c r="E422" s="4">
        <f>IFERROR(__xludf.DUMMYFUNCTION("""COMPUTED_VALUE"""),60000.0)</f>
        <v>60000</v>
      </c>
      <c r="F422" s="4">
        <f>IFERROR(__xludf.DUMMYFUNCTION("""COMPUTED_VALUE"""),60000.0)</f>
        <v>60000</v>
      </c>
      <c r="G422" s="4">
        <f>IFERROR(__xludf.DUMMYFUNCTION("""COMPUTED_VALUE"""),1179.0)</f>
        <v>1179</v>
      </c>
      <c r="H422" s="4">
        <f>IFERROR(__xludf.DUMMYFUNCTION("""COMPUTED_VALUE"""),255.0)</f>
        <v>255</v>
      </c>
      <c r="I422" s="2" t="str">
        <f>IFERROR(__xludf.DUMMYFUNCTION("""COMPUTED_VALUE"""),"random")</f>
        <v>random</v>
      </c>
      <c r="J422" s="2">
        <f t="shared" si="2"/>
        <v>17</v>
      </c>
      <c r="K422" s="2">
        <f t="shared" si="3"/>
        <v>500000</v>
      </c>
      <c r="L422" s="2" t="str">
        <f t="shared" si="4"/>
        <v>P</v>
      </c>
    </row>
    <row r="423">
      <c r="A423" s="2" t="str">
        <f>IFERROR(__xludf.DUMMYFUNCTION("""COMPUTED_VALUE"""),"examples/random/sparse_3000_2_7")</f>
        <v>examples/random/sparse_3000_2_7</v>
      </c>
      <c r="B423" s="4">
        <f>IFERROR(__xludf.DUMMYFUNCTION("""COMPUTED_VALUE"""),9000.0)</f>
        <v>9000</v>
      </c>
      <c r="C423" s="4">
        <f>IFERROR(__xludf.DUMMYFUNCTION("""COMPUTED_VALUE"""),60.0)</f>
        <v>60</v>
      </c>
      <c r="D423" s="4">
        <f>IFERROR(__xludf.DUMMYFUNCTION("""COMPUTED_VALUE"""),60000.0)</f>
        <v>60000</v>
      </c>
      <c r="E423" s="4">
        <f>IFERROR(__xludf.DUMMYFUNCTION("""COMPUTED_VALUE"""),125.0)</f>
        <v>125</v>
      </c>
      <c r="F423" s="4">
        <f>IFERROR(__xludf.DUMMYFUNCTION("""COMPUTED_VALUE"""),218.0)</f>
        <v>218</v>
      </c>
      <c r="G423" s="4">
        <f>IFERROR(__xludf.DUMMYFUNCTION("""COMPUTED_VALUE"""),52.0)</f>
        <v>52</v>
      </c>
      <c r="H423" s="4">
        <f>IFERROR(__xludf.DUMMYFUNCTION("""COMPUTED_VALUE"""),6.0)</f>
        <v>6</v>
      </c>
      <c r="I423" s="2" t="str">
        <f>IFERROR(__xludf.DUMMYFUNCTION("""COMPUTED_VALUE"""),"random")</f>
        <v>random</v>
      </c>
      <c r="J423" s="2">
        <f t="shared" si="2"/>
        <v>12</v>
      </c>
      <c r="K423" s="2">
        <f t="shared" si="3"/>
        <v>10000</v>
      </c>
      <c r="L423" s="2" t="str">
        <f t="shared" si="4"/>
        <v>P</v>
      </c>
    </row>
    <row r="424">
      <c r="A424" s="2" t="str">
        <f>IFERROR(__xludf.DUMMYFUNCTION("""COMPUTED_VALUE"""),"examples/random/sparse_1000_1_8")</f>
        <v>examples/random/sparse_1000_1_8</v>
      </c>
      <c r="B424" s="4">
        <f>IFERROR(__xludf.DUMMYFUNCTION("""COMPUTED_VALUE"""),2000.0)</f>
        <v>2000</v>
      </c>
      <c r="C424" s="4">
        <f>IFERROR(__xludf.DUMMYFUNCTION("""COMPUTED_VALUE"""),60.0)</f>
        <v>60</v>
      </c>
      <c r="D424" s="4">
        <f>IFERROR(__xludf.DUMMYFUNCTION("""COMPUTED_VALUE"""),166.0)</f>
        <v>166</v>
      </c>
      <c r="E424" s="4">
        <f>IFERROR(__xludf.DUMMYFUNCTION("""COMPUTED_VALUE"""),1.0)</f>
        <v>1</v>
      </c>
      <c r="F424" s="4">
        <f>IFERROR(__xludf.DUMMYFUNCTION("""COMPUTED_VALUE"""),1.0)</f>
        <v>1</v>
      </c>
      <c r="G424" s="4">
        <f>IFERROR(__xludf.DUMMYFUNCTION("""COMPUTED_VALUE"""),10.0)</f>
        <v>10</v>
      </c>
      <c r="H424" s="4">
        <f>IFERROR(__xludf.DUMMYFUNCTION("""COMPUTED_VALUE"""),1.0)</f>
        <v>1</v>
      </c>
      <c r="I424" s="2" t="str">
        <f>IFERROR(__xludf.DUMMYFUNCTION("""COMPUTED_VALUE"""),"random")</f>
        <v>random</v>
      </c>
      <c r="J424" s="2">
        <f t="shared" si="2"/>
        <v>10</v>
      </c>
      <c r="K424" s="2">
        <f t="shared" si="3"/>
        <v>2000</v>
      </c>
      <c r="L424" s="2" t="str">
        <f t="shared" si="4"/>
        <v>BP</v>
      </c>
    </row>
    <row r="425">
      <c r="A425" s="2" t="str">
        <f>IFERROR(__xludf.DUMMYFUNCTION("""COMPUTED_VALUE"""),"examples/random/sparse_1000_3_6")</f>
        <v>examples/random/sparse_1000_3_6</v>
      </c>
      <c r="B425" s="4">
        <f>IFERROR(__xludf.DUMMYFUNCTION("""COMPUTED_VALUE"""),4000.0)</f>
        <v>4000</v>
      </c>
      <c r="C425" s="4">
        <f>IFERROR(__xludf.DUMMYFUNCTION("""COMPUTED_VALUE"""),60.0)</f>
        <v>60</v>
      </c>
      <c r="D425" s="4">
        <f>IFERROR(__xludf.DUMMYFUNCTION("""COMPUTED_VALUE"""),13379.0)</f>
        <v>13379</v>
      </c>
      <c r="E425" s="4">
        <f>IFERROR(__xludf.DUMMYFUNCTION("""COMPUTED_VALUE"""),29.0)</f>
        <v>29</v>
      </c>
      <c r="F425" s="4">
        <f>IFERROR(__xludf.DUMMYFUNCTION("""COMPUTED_VALUE"""),52.0)</f>
        <v>52</v>
      </c>
      <c r="G425" s="4">
        <f>IFERROR(__xludf.DUMMYFUNCTION("""COMPUTED_VALUE"""),8.0)</f>
        <v>8</v>
      </c>
      <c r="H425" s="4">
        <f>IFERROR(__xludf.DUMMYFUNCTION("""COMPUTED_VALUE"""),1.0)</f>
        <v>1</v>
      </c>
      <c r="I425" s="2" t="str">
        <f>IFERROR(__xludf.DUMMYFUNCTION("""COMPUTED_VALUE"""),"random")</f>
        <v>random</v>
      </c>
      <c r="J425" s="2">
        <f t="shared" si="2"/>
        <v>11</v>
      </c>
      <c r="K425" s="2">
        <f t="shared" si="3"/>
        <v>5000</v>
      </c>
      <c r="L425" s="2" t="str">
        <f t="shared" si="4"/>
        <v>P</v>
      </c>
    </row>
    <row r="426">
      <c r="A426" s="2" t="str">
        <f>IFERROR(__xludf.DUMMYFUNCTION("""COMPUTED_VALUE"""),"examples/random/sparse_3000_10_9")</f>
        <v>examples/random/sparse_3000_10_9</v>
      </c>
      <c r="B426" s="4">
        <f>IFERROR(__xludf.DUMMYFUNCTION("""COMPUTED_VALUE"""),33000.0)</f>
        <v>33000</v>
      </c>
      <c r="C426" s="4">
        <f>IFERROR(__xludf.DUMMYFUNCTION("""COMPUTED_VALUE"""),60.0)</f>
        <v>60</v>
      </c>
      <c r="D426" s="4">
        <f>IFERROR(__xludf.DUMMYFUNCTION("""COMPUTED_VALUE"""),60000.0)</f>
        <v>60000</v>
      </c>
      <c r="E426" s="4">
        <f>IFERROR(__xludf.DUMMYFUNCTION("""COMPUTED_VALUE"""),1360.0)</f>
        <v>1360</v>
      </c>
      <c r="F426" s="4">
        <f>IFERROR(__xludf.DUMMYFUNCTION("""COMPUTED_VALUE"""),1988.0)</f>
        <v>1988</v>
      </c>
      <c r="G426" s="4">
        <f>IFERROR(__xludf.DUMMYFUNCTION("""COMPUTED_VALUE"""),32.0)</f>
        <v>32</v>
      </c>
      <c r="H426" s="4">
        <f>IFERROR(__xludf.DUMMYFUNCTION("""COMPUTED_VALUE"""),11.0)</f>
        <v>11</v>
      </c>
      <c r="I426" s="2" t="str">
        <f>IFERROR(__xludf.DUMMYFUNCTION("""COMPUTED_VALUE"""),"random")</f>
        <v>random</v>
      </c>
      <c r="J426" s="2">
        <f t="shared" si="2"/>
        <v>14</v>
      </c>
      <c r="K426" s="2">
        <f t="shared" si="3"/>
        <v>50000</v>
      </c>
      <c r="L426" s="2" t="str">
        <f t="shared" si="4"/>
        <v>P</v>
      </c>
    </row>
    <row r="427">
      <c r="A427" s="2" t="str">
        <f>IFERROR(__xludf.DUMMYFUNCTION("""COMPUTED_VALUE"""),"examples/random/sparse_3000_1_3")</f>
        <v>examples/random/sparse_3000_1_3</v>
      </c>
      <c r="B427" s="4">
        <f>IFERROR(__xludf.DUMMYFUNCTION("""COMPUTED_VALUE"""),6000.0)</f>
        <v>6000</v>
      </c>
      <c r="C427" s="4">
        <f>IFERROR(__xludf.DUMMYFUNCTION("""COMPUTED_VALUE"""),60.0)</f>
        <v>60</v>
      </c>
      <c r="D427" s="4">
        <f>IFERROR(__xludf.DUMMYFUNCTION("""COMPUTED_VALUE"""),1544.0)</f>
        <v>1544</v>
      </c>
      <c r="E427" s="4">
        <f>IFERROR(__xludf.DUMMYFUNCTION("""COMPUTED_VALUE"""),6.0)</f>
        <v>6</v>
      </c>
      <c r="F427" s="4">
        <f>IFERROR(__xludf.DUMMYFUNCTION("""COMPUTED_VALUE"""),5.0)</f>
        <v>5</v>
      </c>
      <c r="G427" s="4">
        <f>IFERROR(__xludf.DUMMYFUNCTION("""COMPUTED_VALUE"""),32.0)</f>
        <v>32</v>
      </c>
      <c r="H427" s="4">
        <f>IFERROR(__xludf.DUMMYFUNCTION("""COMPUTED_VALUE"""),4.0)</f>
        <v>4</v>
      </c>
      <c r="I427" s="2" t="str">
        <f>IFERROR(__xludf.DUMMYFUNCTION("""COMPUTED_VALUE"""),"random")</f>
        <v>random</v>
      </c>
      <c r="J427" s="2">
        <f t="shared" si="2"/>
        <v>11</v>
      </c>
      <c r="K427" s="2">
        <f t="shared" si="3"/>
        <v>5000</v>
      </c>
      <c r="L427" s="2" t="str">
        <f t="shared" si="4"/>
        <v>P</v>
      </c>
    </row>
    <row r="428">
      <c r="A428" s="2" t="str">
        <f>IFERROR(__xludf.DUMMYFUNCTION("""COMPUTED_VALUE"""),"examples/random/sparse_100000_2_8")</f>
        <v>examples/random/sparse_100000_2_8</v>
      </c>
      <c r="B428" s="4">
        <f>IFERROR(__xludf.DUMMYFUNCTION("""COMPUTED_VALUE"""),300000.0)</f>
        <v>300000</v>
      </c>
      <c r="C428" s="4">
        <f>IFERROR(__xludf.DUMMYFUNCTION("""COMPUTED_VALUE"""),60.0)</f>
        <v>60</v>
      </c>
      <c r="D428" s="4">
        <f>IFERROR(__xludf.DUMMYFUNCTION("""COMPUTED_VALUE"""),60000.0)</f>
        <v>60000</v>
      </c>
      <c r="E428" s="4">
        <f>IFERROR(__xludf.DUMMYFUNCTION("""COMPUTED_VALUE"""),60000.0)</f>
        <v>60000</v>
      </c>
      <c r="F428" s="4">
        <f>IFERROR(__xludf.DUMMYFUNCTION("""COMPUTED_VALUE"""),60000.0)</f>
        <v>60000</v>
      </c>
      <c r="G428" s="4">
        <f>IFERROR(__xludf.DUMMYFUNCTION("""COMPUTED_VALUE"""),1134.0)</f>
        <v>1134</v>
      </c>
      <c r="H428" s="4">
        <f>IFERROR(__xludf.DUMMYFUNCTION("""COMPUTED_VALUE"""),217.0)</f>
        <v>217</v>
      </c>
      <c r="I428" s="2" t="str">
        <f>IFERROR(__xludf.DUMMYFUNCTION("""COMPUTED_VALUE"""),"random")</f>
        <v>random</v>
      </c>
      <c r="J428" s="2">
        <f t="shared" si="2"/>
        <v>16</v>
      </c>
      <c r="K428" s="2">
        <f t="shared" si="3"/>
        <v>200000</v>
      </c>
      <c r="L428" s="2" t="str">
        <f t="shared" si="4"/>
        <v>P</v>
      </c>
    </row>
    <row r="429">
      <c r="A429" s="2" t="str">
        <f>IFERROR(__xludf.DUMMYFUNCTION("""COMPUTED_VALUE"""),"examples/random/dense_10000_3_2")</f>
        <v>examples/random/dense_10000_3_2</v>
      </c>
      <c r="B429" s="4">
        <f>IFERROR(__xludf.DUMMYFUNCTION("""COMPUTED_VALUE"""),3012356.0)</f>
        <v>3012356</v>
      </c>
      <c r="C429" s="4">
        <f>IFERROR(__xludf.DUMMYFUNCTION("""COMPUTED_VALUE"""),60.0)</f>
        <v>60</v>
      </c>
      <c r="D429" s="4">
        <f>IFERROR(__xludf.DUMMYFUNCTION("""COMPUTED_VALUE"""),60000.0)</f>
        <v>60000</v>
      </c>
      <c r="E429" s="4">
        <f>IFERROR(__xludf.DUMMYFUNCTION("""COMPUTED_VALUE"""),60000.0)</f>
        <v>60000</v>
      </c>
      <c r="F429" s="4">
        <f>IFERROR(__xludf.DUMMYFUNCTION("""COMPUTED_VALUE"""),60000.0)</f>
        <v>60000</v>
      </c>
      <c r="G429" s="4">
        <f>IFERROR(__xludf.DUMMYFUNCTION("""COMPUTED_VALUE"""),930.0)</f>
        <v>930</v>
      </c>
      <c r="H429" s="4">
        <f>IFERROR(__xludf.DUMMYFUNCTION("""COMPUTED_VALUE"""),648.0)</f>
        <v>648</v>
      </c>
      <c r="I429" s="2" t="str">
        <f>IFERROR(__xludf.DUMMYFUNCTION("""COMPUTED_VALUE"""),"random")</f>
        <v>random</v>
      </c>
      <c r="J429" s="2">
        <f t="shared" si="2"/>
        <v>19</v>
      </c>
      <c r="K429" s="2">
        <f t="shared" si="3"/>
        <v>2000000</v>
      </c>
      <c r="L429" s="2" t="str">
        <f t="shared" si="4"/>
        <v>P</v>
      </c>
    </row>
    <row r="430">
      <c r="A430" s="2" t="str">
        <f>IFERROR(__xludf.DUMMYFUNCTION("""COMPUTED_VALUE"""),"examples/random/dense_300_2_10")</f>
        <v>examples/random/dense_300_2_10</v>
      </c>
      <c r="B430" s="4">
        <f>IFERROR(__xludf.DUMMYFUNCTION("""COMPUTED_VALUE"""),2153.0)</f>
        <v>2153</v>
      </c>
      <c r="C430" s="4">
        <f>IFERROR(__xludf.DUMMYFUNCTION("""COMPUTED_VALUE"""),60.0)</f>
        <v>60</v>
      </c>
      <c r="D430" s="4">
        <f>IFERROR(__xludf.DUMMYFUNCTION("""COMPUTED_VALUE"""),836.0)</f>
        <v>836</v>
      </c>
      <c r="E430" s="4">
        <f>IFERROR(__xludf.DUMMYFUNCTION("""COMPUTED_VALUE"""),7.0)</f>
        <v>7</v>
      </c>
      <c r="F430" s="4">
        <f>IFERROR(__xludf.DUMMYFUNCTION("""COMPUTED_VALUE"""),11.0)</f>
        <v>11</v>
      </c>
      <c r="G430" s="4">
        <f>IFERROR(__xludf.DUMMYFUNCTION("""COMPUTED_VALUE"""),2.0)</f>
        <v>2</v>
      </c>
      <c r="H430" s="4">
        <f>IFERROR(__xludf.DUMMYFUNCTION("""COMPUTED_VALUE"""),0.0)</f>
        <v>0</v>
      </c>
      <c r="I430" s="2" t="str">
        <f>IFERROR(__xludf.DUMMYFUNCTION("""COMPUTED_VALUE"""),"random")</f>
        <v>random</v>
      </c>
      <c r="J430" s="2">
        <f t="shared" si="2"/>
        <v>10</v>
      </c>
      <c r="K430" s="2">
        <f t="shared" si="3"/>
        <v>2000</v>
      </c>
      <c r="L430" s="2" t="str">
        <f t="shared" si="4"/>
        <v>P</v>
      </c>
    </row>
    <row r="431">
      <c r="A431" s="2" t="str">
        <f>IFERROR(__xludf.DUMMYFUNCTION("""COMPUTED_VALUE"""),"examples/random/sparse_100_3_5")</f>
        <v>examples/random/sparse_100_3_5</v>
      </c>
      <c r="B431" s="4">
        <f>IFERROR(__xludf.DUMMYFUNCTION("""COMPUTED_VALUE"""),400.0)</f>
        <v>400</v>
      </c>
      <c r="C431" s="4">
        <f>IFERROR(__xludf.DUMMYFUNCTION("""COMPUTED_VALUE"""),60.0)</f>
        <v>60</v>
      </c>
      <c r="D431" s="4">
        <f>IFERROR(__xludf.DUMMYFUNCTION("""COMPUTED_VALUE"""),14.0)</f>
        <v>14</v>
      </c>
      <c r="E431" s="4">
        <f>IFERROR(__xludf.DUMMYFUNCTION("""COMPUTED_VALUE"""),0.0)</f>
        <v>0</v>
      </c>
      <c r="F431" s="4">
        <f>IFERROR(__xludf.DUMMYFUNCTION("""COMPUTED_VALUE"""),0.0)</f>
        <v>0</v>
      </c>
      <c r="G431" s="4">
        <f>IFERROR(__xludf.DUMMYFUNCTION("""COMPUTED_VALUE"""),0.0)</f>
        <v>0</v>
      </c>
      <c r="H431" s="4">
        <f>IFERROR(__xludf.DUMMYFUNCTION("""COMPUTED_VALUE"""),0.0)</f>
        <v>0</v>
      </c>
      <c r="I431" s="2" t="str">
        <f>IFERROR(__xludf.DUMMYFUNCTION("""COMPUTED_VALUE"""),"random")</f>
        <v>random</v>
      </c>
      <c r="J431" s="2">
        <f t="shared" si="2"/>
        <v>8</v>
      </c>
      <c r="K431" s="2">
        <f t="shared" si="3"/>
        <v>500</v>
      </c>
      <c r="L431" s="2">
        <f t="shared" si="4"/>
        <v>0</v>
      </c>
    </row>
    <row r="432">
      <c r="A432" s="2" t="str">
        <f>IFERROR(__xludf.DUMMYFUNCTION("""COMPUTED_VALUE"""),"examples/random/sparse_10000_2_5")</f>
        <v>examples/random/sparse_10000_2_5</v>
      </c>
      <c r="B432" s="4">
        <f>IFERROR(__xludf.DUMMYFUNCTION("""COMPUTED_VALUE"""),30000.0)</f>
        <v>30000</v>
      </c>
      <c r="C432" s="4">
        <f>IFERROR(__xludf.DUMMYFUNCTION("""COMPUTED_VALUE"""),60.0)</f>
        <v>60</v>
      </c>
      <c r="D432" s="4">
        <f>IFERROR(__xludf.DUMMYFUNCTION("""COMPUTED_VALUE"""),60000.0)</f>
        <v>60000</v>
      </c>
      <c r="E432" s="4">
        <f>IFERROR(__xludf.DUMMYFUNCTION("""COMPUTED_VALUE"""),1425.0)</f>
        <v>1425</v>
      </c>
      <c r="F432" s="4">
        <f>IFERROR(__xludf.DUMMYFUNCTION("""COMPUTED_VALUE"""),2481.0)</f>
        <v>2481</v>
      </c>
      <c r="G432" s="4">
        <f>IFERROR(__xludf.DUMMYFUNCTION("""COMPUTED_VALUE"""),82.0)</f>
        <v>82</v>
      </c>
      <c r="H432" s="4">
        <f>IFERROR(__xludf.DUMMYFUNCTION("""COMPUTED_VALUE"""),16.0)</f>
        <v>16</v>
      </c>
      <c r="I432" s="2" t="str">
        <f>IFERROR(__xludf.DUMMYFUNCTION("""COMPUTED_VALUE"""),"random")</f>
        <v>random</v>
      </c>
      <c r="J432" s="2">
        <f t="shared" si="2"/>
        <v>13</v>
      </c>
      <c r="K432" s="2">
        <f t="shared" si="3"/>
        <v>20000</v>
      </c>
      <c r="L432" s="2" t="str">
        <f t="shared" si="4"/>
        <v>P</v>
      </c>
    </row>
    <row r="433">
      <c r="A433" s="2" t="str">
        <f>IFERROR(__xludf.DUMMYFUNCTION("""COMPUTED_VALUE"""),"examples/random/sparse_300_3_8")</f>
        <v>examples/random/sparse_300_3_8</v>
      </c>
      <c r="B433" s="4">
        <f>IFERROR(__xludf.DUMMYFUNCTION("""COMPUTED_VALUE"""),1200.0)</f>
        <v>1200</v>
      </c>
      <c r="C433" s="4">
        <f>IFERROR(__xludf.DUMMYFUNCTION("""COMPUTED_VALUE"""),60.0)</f>
        <v>60</v>
      </c>
      <c r="D433" s="4">
        <f>IFERROR(__xludf.DUMMYFUNCTION("""COMPUTED_VALUE"""),316.0)</f>
        <v>316</v>
      </c>
      <c r="E433" s="4">
        <f>IFERROR(__xludf.DUMMYFUNCTION("""COMPUTED_VALUE"""),2.0)</f>
        <v>2</v>
      </c>
      <c r="F433" s="4">
        <f>IFERROR(__xludf.DUMMYFUNCTION("""COMPUTED_VALUE"""),5.0)</f>
        <v>5</v>
      </c>
      <c r="G433" s="4">
        <f>IFERROR(__xludf.DUMMYFUNCTION("""COMPUTED_VALUE"""),2.0)</f>
        <v>2</v>
      </c>
      <c r="H433" s="4">
        <f>IFERROR(__xludf.DUMMYFUNCTION("""COMPUTED_VALUE"""),0.0)</f>
        <v>0</v>
      </c>
      <c r="I433" s="2" t="str">
        <f>IFERROR(__xludf.DUMMYFUNCTION("""COMPUTED_VALUE"""),"random")</f>
        <v>random</v>
      </c>
      <c r="J433" s="2">
        <f t="shared" si="2"/>
        <v>9</v>
      </c>
      <c r="K433" s="2">
        <f t="shared" si="3"/>
        <v>1000</v>
      </c>
      <c r="L433" s="2" t="str">
        <f t="shared" si="4"/>
        <v>P</v>
      </c>
    </row>
    <row r="434">
      <c r="A434" s="2" t="str">
        <f>IFERROR(__xludf.DUMMYFUNCTION("""COMPUTED_VALUE"""),"examples/random/dense_1000_3_6")</f>
        <v>examples/random/dense_1000_3_6</v>
      </c>
      <c r="B434" s="4">
        <f>IFERROR(__xludf.DUMMYFUNCTION("""COMPUTED_VALUE"""),31177.0)</f>
        <v>31177</v>
      </c>
      <c r="C434" s="4">
        <f>IFERROR(__xludf.DUMMYFUNCTION("""COMPUTED_VALUE"""),60.0)</f>
        <v>60</v>
      </c>
      <c r="D434" s="4">
        <f>IFERROR(__xludf.DUMMYFUNCTION("""COMPUTED_VALUE"""),60000.0)</f>
        <v>60000</v>
      </c>
      <c r="E434" s="4">
        <f>IFERROR(__xludf.DUMMYFUNCTION("""COMPUTED_VALUE"""),451.0)</f>
        <v>451</v>
      </c>
      <c r="F434" s="4">
        <f>IFERROR(__xludf.DUMMYFUNCTION("""COMPUTED_VALUE"""),682.0)</f>
        <v>682</v>
      </c>
      <c r="G434" s="4">
        <f>IFERROR(__xludf.DUMMYFUNCTION("""COMPUTED_VALUE"""),14.0)</f>
        <v>14</v>
      </c>
      <c r="H434" s="4">
        <f>IFERROR(__xludf.DUMMYFUNCTION("""COMPUTED_VALUE"""),6.0)</f>
        <v>6</v>
      </c>
      <c r="I434" s="2" t="str">
        <f>IFERROR(__xludf.DUMMYFUNCTION("""COMPUTED_VALUE"""),"random")</f>
        <v>random</v>
      </c>
      <c r="J434" s="2">
        <f t="shared" si="2"/>
        <v>13</v>
      </c>
      <c r="K434" s="2">
        <f t="shared" si="3"/>
        <v>20000</v>
      </c>
      <c r="L434" s="2" t="str">
        <f t="shared" si="4"/>
        <v>P</v>
      </c>
    </row>
    <row r="435">
      <c r="A435" s="2" t="str">
        <f>IFERROR(__xludf.DUMMYFUNCTION("""COMPUTED_VALUE"""),"examples/random/dense_3000_2_7")</f>
        <v>examples/random/dense_3000_2_7</v>
      </c>
      <c r="B435" s="4">
        <f>IFERROR(__xludf.DUMMYFUNCTION("""COMPUTED_VALUE"""),183252.0)</f>
        <v>183252</v>
      </c>
      <c r="C435" s="4">
        <f>IFERROR(__xludf.DUMMYFUNCTION("""COMPUTED_VALUE"""),60.0)</f>
        <v>60</v>
      </c>
      <c r="D435" s="4">
        <f>IFERROR(__xludf.DUMMYFUNCTION("""COMPUTED_VALUE"""),60000.0)</f>
        <v>60000</v>
      </c>
      <c r="E435" s="4">
        <f>IFERROR(__xludf.DUMMYFUNCTION("""COMPUTED_VALUE"""),8465.0)</f>
        <v>8465</v>
      </c>
      <c r="F435" s="4">
        <f>IFERROR(__xludf.DUMMYFUNCTION("""COMPUTED_VALUE"""),18650.0)</f>
        <v>18650</v>
      </c>
      <c r="G435" s="4">
        <f>IFERROR(__xludf.DUMMYFUNCTION("""COMPUTED_VALUE"""),70.0)</f>
        <v>70</v>
      </c>
      <c r="H435" s="4">
        <f>IFERROR(__xludf.DUMMYFUNCTION("""COMPUTED_VALUE"""),40.0)</f>
        <v>40</v>
      </c>
      <c r="I435" s="2" t="str">
        <f>IFERROR(__xludf.DUMMYFUNCTION("""COMPUTED_VALUE"""),"random")</f>
        <v>random</v>
      </c>
      <c r="J435" s="2">
        <f t="shared" si="2"/>
        <v>16</v>
      </c>
      <c r="K435" s="2">
        <f t="shared" si="3"/>
        <v>200000</v>
      </c>
      <c r="L435" s="2" t="str">
        <f t="shared" si="4"/>
        <v>P</v>
      </c>
    </row>
    <row r="436">
      <c r="A436" s="2" t="str">
        <f>IFERROR(__xludf.DUMMYFUNCTION("""COMPUTED_VALUE"""),"examples/random/sparse_30000_2_1")</f>
        <v>examples/random/sparse_30000_2_1</v>
      </c>
      <c r="B436" s="4">
        <f>IFERROR(__xludf.DUMMYFUNCTION("""COMPUTED_VALUE"""),90000.0)</f>
        <v>90000</v>
      </c>
      <c r="C436" s="4">
        <f>IFERROR(__xludf.DUMMYFUNCTION("""COMPUTED_VALUE"""),60.0)</f>
        <v>60</v>
      </c>
      <c r="D436" s="4">
        <f>IFERROR(__xludf.DUMMYFUNCTION("""COMPUTED_VALUE"""),60000.0)</f>
        <v>60000</v>
      </c>
      <c r="E436" s="4">
        <f>IFERROR(__xludf.DUMMYFUNCTION("""COMPUTED_VALUE"""),13772.0)</f>
        <v>13772</v>
      </c>
      <c r="F436" s="4">
        <f>IFERROR(__xludf.DUMMYFUNCTION("""COMPUTED_VALUE"""),24863.0)</f>
        <v>24863</v>
      </c>
      <c r="G436" s="4">
        <f>IFERROR(__xludf.DUMMYFUNCTION("""COMPUTED_VALUE"""),268.0)</f>
        <v>268</v>
      </c>
      <c r="H436" s="4">
        <f>IFERROR(__xludf.DUMMYFUNCTION("""COMPUTED_VALUE"""),50.0)</f>
        <v>50</v>
      </c>
      <c r="I436" s="2" t="str">
        <f>IFERROR(__xludf.DUMMYFUNCTION("""COMPUTED_VALUE"""),"random")</f>
        <v>random</v>
      </c>
      <c r="J436" s="2">
        <f t="shared" si="2"/>
        <v>15</v>
      </c>
      <c r="K436" s="2">
        <f t="shared" si="3"/>
        <v>100000</v>
      </c>
      <c r="L436" s="2" t="str">
        <f t="shared" si="4"/>
        <v>P</v>
      </c>
    </row>
    <row r="437">
      <c r="A437" s="2" t="str">
        <f>IFERROR(__xludf.DUMMYFUNCTION("""COMPUTED_VALUE"""),"examples/random/dense_1000_1_8")</f>
        <v>examples/random/dense_1000_1_8</v>
      </c>
      <c r="B437" s="4">
        <f>IFERROR(__xludf.DUMMYFUNCTION("""COMPUTED_VALUE"""),10924.0)</f>
        <v>10924</v>
      </c>
      <c r="C437" s="4">
        <f>IFERROR(__xludf.DUMMYFUNCTION("""COMPUTED_VALUE"""),60.0)</f>
        <v>60</v>
      </c>
      <c r="D437" s="4">
        <f>IFERROR(__xludf.DUMMYFUNCTION("""COMPUTED_VALUE"""),60000.0)</f>
        <v>60000</v>
      </c>
      <c r="E437" s="4">
        <f>IFERROR(__xludf.DUMMYFUNCTION("""COMPUTED_VALUE"""),146.0)</f>
        <v>146</v>
      </c>
      <c r="F437" s="4">
        <f>IFERROR(__xludf.DUMMYFUNCTION("""COMPUTED_VALUE"""),199.0)</f>
        <v>199</v>
      </c>
      <c r="G437" s="4">
        <f>IFERROR(__xludf.DUMMYFUNCTION("""COMPUTED_VALUE"""),10.0)</f>
        <v>10</v>
      </c>
      <c r="H437" s="4">
        <f>IFERROR(__xludf.DUMMYFUNCTION("""COMPUTED_VALUE"""),2.0)</f>
        <v>2</v>
      </c>
      <c r="I437" s="2" t="str">
        <f>IFERROR(__xludf.DUMMYFUNCTION("""COMPUTED_VALUE"""),"random")</f>
        <v>random</v>
      </c>
      <c r="J437" s="2">
        <f t="shared" si="2"/>
        <v>12</v>
      </c>
      <c r="K437" s="2">
        <f t="shared" si="3"/>
        <v>10000</v>
      </c>
      <c r="L437" s="2" t="str">
        <f t="shared" si="4"/>
        <v>P</v>
      </c>
    </row>
    <row r="438">
      <c r="A438" s="2" t="str">
        <f>IFERROR(__xludf.DUMMYFUNCTION("""COMPUTED_VALUE"""),"examples/random/sparse_300_1_6")</f>
        <v>examples/random/sparse_300_1_6</v>
      </c>
      <c r="B438" s="4">
        <f>IFERROR(__xludf.DUMMYFUNCTION("""COMPUTED_VALUE"""),600.0)</f>
        <v>600</v>
      </c>
      <c r="C438" s="4">
        <f>IFERROR(__xludf.DUMMYFUNCTION("""COMPUTED_VALUE"""),60.0)</f>
        <v>60</v>
      </c>
      <c r="D438" s="4">
        <f>IFERROR(__xludf.DUMMYFUNCTION("""COMPUTED_VALUE"""),15.0)</f>
        <v>15</v>
      </c>
      <c r="E438" s="4">
        <f>IFERROR(__xludf.DUMMYFUNCTION("""COMPUTED_VALUE"""),0.0)</f>
        <v>0</v>
      </c>
      <c r="F438" s="4">
        <f>IFERROR(__xludf.DUMMYFUNCTION("""COMPUTED_VALUE"""),0.0)</f>
        <v>0</v>
      </c>
      <c r="G438" s="4">
        <f>IFERROR(__xludf.DUMMYFUNCTION("""COMPUTED_VALUE"""),3.0)</f>
        <v>3</v>
      </c>
      <c r="H438" s="4">
        <f>IFERROR(__xludf.DUMMYFUNCTION("""COMPUTED_VALUE"""),0.0)</f>
        <v>0</v>
      </c>
      <c r="I438" s="2" t="str">
        <f>IFERROR(__xludf.DUMMYFUNCTION("""COMPUTED_VALUE"""),"random")</f>
        <v>random</v>
      </c>
      <c r="J438" s="2">
        <f t="shared" si="2"/>
        <v>8</v>
      </c>
      <c r="K438" s="2">
        <f t="shared" si="3"/>
        <v>500</v>
      </c>
      <c r="L438" s="2" t="str">
        <f t="shared" si="4"/>
        <v>BP</v>
      </c>
    </row>
    <row r="439">
      <c r="A439" s="2" t="str">
        <f>IFERROR(__xludf.DUMMYFUNCTION("""COMPUTED_VALUE"""),"examples/random/sparse_100_10_4")</f>
        <v>examples/random/sparse_100_10_4</v>
      </c>
      <c r="B439" s="4">
        <f>IFERROR(__xludf.DUMMYFUNCTION("""COMPUTED_VALUE"""),1100.0)</f>
        <v>1100</v>
      </c>
      <c r="C439" s="4">
        <f>IFERROR(__xludf.DUMMYFUNCTION("""COMPUTED_VALUE"""),60.0)</f>
        <v>60</v>
      </c>
      <c r="D439" s="4">
        <f>IFERROR(__xludf.DUMMYFUNCTION("""COMPUTED_VALUE"""),56.0)</f>
        <v>56</v>
      </c>
      <c r="E439" s="4">
        <f>IFERROR(__xludf.DUMMYFUNCTION("""COMPUTED_VALUE"""),1.0)</f>
        <v>1</v>
      </c>
      <c r="F439" s="4">
        <f>IFERROR(__xludf.DUMMYFUNCTION("""COMPUTED_VALUE"""),2.0)</f>
        <v>2</v>
      </c>
      <c r="G439" s="4">
        <f>IFERROR(__xludf.DUMMYFUNCTION("""COMPUTED_VALUE"""),1.0)</f>
        <v>1</v>
      </c>
      <c r="H439" s="4">
        <f>IFERROR(__xludf.DUMMYFUNCTION("""COMPUTED_VALUE"""),0.0)</f>
        <v>0</v>
      </c>
      <c r="I439" s="2" t="str">
        <f>IFERROR(__xludf.DUMMYFUNCTION("""COMPUTED_VALUE"""),"random")</f>
        <v>random</v>
      </c>
      <c r="J439" s="2">
        <f t="shared" si="2"/>
        <v>9</v>
      </c>
      <c r="K439" s="2">
        <f t="shared" si="3"/>
        <v>1000</v>
      </c>
      <c r="L439" s="2" t="str">
        <f t="shared" si="4"/>
        <v>P</v>
      </c>
    </row>
    <row r="440">
      <c r="A440" s="2" t="str">
        <f>IFERROR(__xludf.DUMMYFUNCTION("""COMPUTED_VALUE"""),"examples/random/sparse_30000_10_7")</f>
        <v>examples/random/sparse_30000_10_7</v>
      </c>
      <c r="B440" s="4">
        <f>IFERROR(__xludf.DUMMYFUNCTION("""COMPUTED_VALUE"""),330000.0)</f>
        <v>330000</v>
      </c>
      <c r="C440" s="4">
        <f>IFERROR(__xludf.DUMMYFUNCTION("""COMPUTED_VALUE"""),60.0)</f>
        <v>60</v>
      </c>
      <c r="D440" s="4">
        <f>IFERROR(__xludf.DUMMYFUNCTION("""COMPUTED_VALUE"""),60000.0)</f>
        <v>60000</v>
      </c>
      <c r="E440" s="4">
        <f>IFERROR(__xludf.DUMMYFUNCTION("""COMPUTED_VALUE"""),60000.0)</f>
        <v>60000</v>
      </c>
      <c r="F440" s="4">
        <f>IFERROR(__xludf.DUMMYFUNCTION("""COMPUTED_VALUE"""),60000.0)</f>
        <v>60000</v>
      </c>
      <c r="G440" s="4">
        <f>IFERROR(__xludf.DUMMYFUNCTION("""COMPUTED_VALUE"""),391.0)</f>
        <v>391</v>
      </c>
      <c r="H440" s="4">
        <f>IFERROR(__xludf.DUMMYFUNCTION("""COMPUTED_VALUE"""),128.0)</f>
        <v>128</v>
      </c>
      <c r="I440" s="2" t="str">
        <f>IFERROR(__xludf.DUMMYFUNCTION("""COMPUTED_VALUE"""),"random")</f>
        <v>random</v>
      </c>
      <c r="J440" s="2">
        <f t="shared" si="2"/>
        <v>17</v>
      </c>
      <c r="K440" s="2">
        <f t="shared" si="3"/>
        <v>500000</v>
      </c>
      <c r="L440" s="2" t="str">
        <f t="shared" si="4"/>
        <v>P</v>
      </c>
    </row>
    <row r="441">
      <c r="A441" s="2" t="str">
        <f>IFERROR(__xludf.DUMMYFUNCTION("""COMPUTED_VALUE"""),"examples/random/dense_3000_1_3")</f>
        <v>examples/random/dense_3000_1_3</v>
      </c>
      <c r="B441" s="4">
        <f>IFERROR(__xludf.DUMMYFUNCTION("""COMPUTED_VALUE"""),92732.0)</f>
        <v>92732</v>
      </c>
      <c r="C441" s="4">
        <f>IFERROR(__xludf.DUMMYFUNCTION("""COMPUTED_VALUE"""),60.0)</f>
        <v>60</v>
      </c>
      <c r="D441" s="4">
        <f>IFERROR(__xludf.DUMMYFUNCTION("""COMPUTED_VALUE"""),60000.0)</f>
        <v>60000</v>
      </c>
      <c r="E441" s="4">
        <f>IFERROR(__xludf.DUMMYFUNCTION("""COMPUTED_VALUE"""),4187.0)</f>
        <v>4187</v>
      </c>
      <c r="F441" s="4">
        <f>IFERROR(__xludf.DUMMYFUNCTION("""COMPUTED_VALUE"""),6749.0)</f>
        <v>6749</v>
      </c>
      <c r="G441" s="4">
        <f>IFERROR(__xludf.DUMMYFUNCTION("""COMPUTED_VALUE"""),43.0)</f>
        <v>43</v>
      </c>
      <c r="H441" s="4">
        <f>IFERROR(__xludf.DUMMYFUNCTION("""COMPUTED_VALUE"""),20.0)</f>
        <v>20</v>
      </c>
      <c r="I441" s="2" t="str">
        <f>IFERROR(__xludf.DUMMYFUNCTION("""COMPUTED_VALUE"""),"random")</f>
        <v>random</v>
      </c>
      <c r="J441" s="2">
        <f t="shared" si="2"/>
        <v>15</v>
      </c>
      <c r="K441" s="2">
        <f t="shared" si="3"/>
        <v>100000</v>
      </c>
      <c r="L441" s="2" t="str">
        <f t="shared" si="4"/>
        <v>P</v>
      </c>
    </row>
    <row r="442">
      <c r="A442" s="2" t="str">
        <f>IFERROR(__xludf.DUMMYFUNCTION("""COMPUTED_VALUE"""),"examples/random/sparse_30000_1_5")</f>
        <v>examples/random/sparse_30000_1_5</v>
      </c>
      <c r="B442" s="4">
        <f>IFERROR(__xludf.DUMMYFUNCTION("""COMPUTED_VALUE"""),60000.0)</f>
        <v>60000</v>
      </c>
      <c r="C442" s="4">
        <f>IFERROR(__xludf.DUMMYFUNCTION("""COMPUTED_VALUE"""),60.0)</f>
        <v>60</v>
      </c>
      <c r="D442" s="4">
        <f>IFERROR(__xludf.DUMMYFUNCTION("""COMPUTED_VALUE"""),60000.0)</f>
        <v>60000</v>
      </c>
      <c r="E442" s="4">
        <f>IFERROR(__xludf.DUMMYFUNCTION("""COMPUTED_VALUE"""),74.0)</f>
        <v>74</v>
      </c>
      <c r="F442" s="4">
        <f>IFERROR(__xludf.DUMMYFUNCTION("""COMPUTED_VALUE"""),69.0)</f>
        <v>69</v>
      </c>
      <c r="G442" s="4">
        <f>IFERROR(__xludf.DUMMYFUNCTION("""COMPUTED_VALUE"""),391.0)</f>
        <v>391</v>
      </c>
      <c r="H442" s="4">
        <f>IFERROR(__xludf.DUMMYFUNCTION("""COMPUTED_VALUE"""),51.0)</f>
        <v>51</v>
      </c>
      <c r="I442" s="2" t="str">
        <f>IFERROR(__xludf.DUMMYFUNCTION("""COMPUTED_VALUE"""),"random")</f>
        <v>random</v>
      </c>
      <c r="J442" s="2">
        <f t="shared" si="2"/>
        <v>14</v>
      </c>
      <c r="K442" s="2">
        <f t="shared" si="3"/>
        <v>50000</v>
      </c>
      <c r="L442" s="2" t="str">
        <f t="shared" si="4"/>
        <v>P</v>
      </c>
    </row>
    <row r="443">
      <c r="A443" s="2" t="str">
        <f>IFERROR(__xludf.DUMMYFUNCTION("""COMPUTED_VALUE"""),"examples/random/sparse_300_2_2")</f>
        <v>examples/random/sparse_300_2_2</v>
      </c>
      <c r="B443" s="4">
        <f>IFERROR(__xludf.DUMMYFUNCTION("""COMPUTED_VALUE"""),900.0)</f>
        <v>900</v>
      </c>
      <c r="C443" s="4">
        <f>IFERROR(__xludf.DUMMYFUNCTION("""COMPUTED_VALUE"""),60.0)</f>
        <v>60</v>
      </c>
      <c r="D443" s="4">
        <f>IFERROR(__xludf.DUMMYFUNCTION("""COMPUTED_VALUE"""),153.0)</f>
        <v>153</v>
      </c>
      <c r="E443" s="4">
        <f>IFERROR(__xludf.DUMMYFUNCTION("""COMPUTED_VALUE"""),1.0)</f>
        <v>1</v>
      </c>
      <c r="F443" s="4">
        <f>IFERROR(__xludf.DUMMYFUNCTION("""COMPUTED_VALUE"""),2.0)</f>
        <v>2</v>
      </c>
      <c r="G443" s="4">
        <f>IFERROR(__xludf.DUMMYFUNCTION("""COMPUTED_VALUE"""),2.0)</f>
        <v>2</v>
      </c>
      <c r="H443" s="4">
        <f>IFERROR(__xludf.DUMMYFUNCTION("""COMPUTED_VALUE"""),0.0)</f>
        <v>0</v>
      </c>
      <c r="I443" s="2" t="str">
        <f>IFERROR(__xludf.DUMMYFUNCTION("""COMPUTED_VALUE"""),"random")</f>
        <v>random</v>
      </c>
      <c r="J443" s="2">
        <f t="shared" si="2"/>
        <v>9</v>
      </c>
      <c r="K443" s="2">
        <f t="shared" si="3"/>
        <v>1000</v>
      </c>
      <c r="L443" s="2" t="str">
        <f t="shared" si="4"/>
        <v>P</v>
      </c>
    </row>
    <row r="444">
      <c r="A444" s="2" t="str">
        <f>IFERROR(__xludf.DUMMYFUNCTION("""COMPUTED_VALUE"""),"examples/random/sparse_10000_1_1")</f>
        <v>examples/random/sparse_10000_1_1</v>
      </c>
      <c r="B444" s="4">
        <f>IFERROR(__xludf.DUMMYFUNCTION("""COMPUTED_VALUE"""),20000.0)</f>
        <v>20000</v>
      </c>
      <c r="C444" s="4">
        <f>IFERROR(__xludf.DUMMYFUNCTION("""COMPUTED_VALUE"""),60.0)</f>
        <v>60</v>
      </c>
      <c r="D444" s="4">
        <f>IFERROR(__xludf.DUMMYFUNCTION("""COMPUTED_VALUE"""),17893.0)</f>
        <v>17893</v>
      </c>
      <c r="E444" s="4">
        <f>IFERROR(__xludf.DUMMYFUNCTION("""COMPUTED_VALUE"""),21.0)</f>
        <v>21</v>
      </c>
      <c r="F444" s="4">
        <f>IFERROR(__xludf.DUMMYFUNCTION("""COMPUTED_VALUE"""),20.0)</f>
        <v>20</v>
      </c>
      <c r="G444" s="4">
        <f>IFERROR(__xludf.DUMMYFUNCTION("""COMPUTED_VALUE"""),117.0)</f>
        <v>117</v>
      </c>
      <c r="H444" s="4">
        <f>IFERROR(__xludf.DUMMYFUNCTION("""COMPUTED_VALUE"""),15.0)</f>
        <v>15</v>
      </c>
      <c r="I444" s="2" t="str">
        <f>IFERROR(__xludf.DUMMYFUNCTION("""COMPUTED_VALUE"""),"random")</f>
        <v>random</v>
      </c>
      <c r="J444" s="2">
        <f t="shared" si="2"/>
        <v>13</v>
      </c>
      <c r="K444" s="2">
        <f t="shared" si="3"/>
        <v>20000</v>
      </c>
      <c r="L444" s="2" t="str">
        <f t="shared" si="4"/>
        <v>P</v>
      </c>
    </row>
    <row r="445">
      <c r="A445" s="2" t="str">
        <f>IFERROR(__xludf.DUMMYFUNCTION("""COMPUTED_VALUE"""),"examples/random/dense_300_3_9")</f>
        <v>examples/random/dense_300_3_9</v>
      </c>
      <c r="B445" s="4">
        <f>IFERROR(__xludf.DUMMYFUNCTION("""COMPUTED_VALUE"""),3068.0)</f>
        <v>3068</v>
      </c>
      <c r="C445" s="4">
        <f>IFERROR(__xludf.DUMMYFUNCTION("""COMPUTED_VALUE"""),60.0)</f>
        <v>60</v>
      </c>
      <c r="D445" s="4">
        <f>IFERROR(__xludf.DUMMYFUNCTION("""COMPUTED_VALUE"""),1180.0)</f>
        <v>1180</v>
      </c>
      <c r="E445" s="4">
        <f>IFERROR(__xludf.DUMMYFUNCTION("""COMPUTED_VALUE"""),11.0)</f>
        <v>11</v>
      </c>
      <c r="F445" s="4">
        <f>IFERROR(__xludf.DUMMYFUNCTION("""COMPUTED_VALUE"""),15.0)</f>
        <v>15</v>
      </c>
      <c r="G445" s="4">
        <f>IFERROR(__xludf.DUMMYFUNCTION("""COMPUTED_VALUE"""),2.0)</f>
        <v>2</v>
      </c>
      <c r="H445" s="4">
        <f>IFERROR(__xludf.DUMMYFUNCTION("""COMPUTED_VALUE"""),0.0)</f>
        <v>0</v>
      </c>
      <c r="I445" s="2" t="str">
        <f>IFERROR(__xludf.DUMMYFUNCTION("""COMPUTED_VALUE"""),"random")</f>
        <v>random</v>
      </c>
      <c r="J445" s="2">
        <f t="shared" si="2"/>
        <v>10</v>
      </c>
      <c r="K445" s="2">
        <f t="shared" si="3"/>
        <v>2000</v>
      </c>
      <c r="L445" s="2" t="str">
        <f t="shared" si="4"/>
        <v>P</v>
      </c>
    </row>
    <row r="446">
      <c r="A446" s="2" t="str">
        <f>IFERROR(__xludf.DUMMYFUNCTION("""COMPUTED_VALUE"""),"examples/random/sparse_1000_2_5")</f>
        <v>examples/random/sparse_1000_2_5</v>
      </c>
      <c r="B446" s="4">
        <f>IFERROR(__xludf.DUMMYFUNCTION("""COMPUTED_VALUE"""),3000.0)</f>
        <v>3000</v>
      </c>
      <c r="C446" s="4">
        <f>IFERROR(__xludf.DUMMYFUNCTION("""COMPUTED_VALUE"""),60.0)</f>
        <v>60</v>
      </c>
      <c r="D446" s="4">
        <f>IFERROR(__xludf.DUMMYFUNCTION("""COMPUTED_VALUE"""),4732.0)</f>
        <v>4732</v>
      </c>
      <c r="E446" s="4">
        <f>IFERROR(__xludf.DUMMYFUNCTION("""COMPUTED_VALUE"""),12.0)</f>
        <v>12</v>
      </c>
      <c r="F446" s="4">
        <f>IFERROR(__xludf.DUMMYFUNCTION("""COMPUTED_VALUE"""),24.0)</f>
        <v>24</v>
      </c>
      <c r="G446" s="4">
        <f>IFERROR(__xludf.DUMMYFUNCTION("""COMPUTED_VALUE"""),15.0)</f>
        <v>15</v>
      </c>
      <c r="H446" s="4">
        <f>IFERROR(__xludf.DUMMYFUNCTION("""COMPUTED_VALUE"""),2.0)</f>
        <v>2</v>
      </c>
      <c r="I446" s="2" t="str">
        <f>IFERROR(__xludf.DUMMYFUNCTION("""COMPUTED_VALUE"""),"random")</f>
        <v>random</v>
      </c>
      <c r="J446" s="2">
        <f t="shared" si="2"/>
        <v>10</v>
      </c>
      <c r="K446" s="2">
        <f t="shared" si="3"/>
        <v>2000</v>
      </c>
      <c r="L446" s="2" t="str">
        <f t="shared" si="4"/>
        <v>P</v>
      </c>
    </row>
    <row r="447">
      <c r="A447" s="2" t="str">
        <f>IFERROR(__xludf.DUMMYFUNCTION("""COMPUTED_VALUE"""),"examples/random/dense_300_1_7")</f>
        <v>examples/random/dense_300_1_7</v>
      </c>
      <c r="B447" s="4">
        <f>IFERROR(__xludf.DUMMYFUNCTION("""COMPUTED_VALUE"""),1172.0)</f>
        <v>1172</v>
      </c>
      <c r="C447" s="4">
        <f>IFERROR(__xludf.DUMMYFUNCTION("""COMPUTED_VALUE"""),60.0)</f>
        <v>60</v>
      </c>
      <c r="D447" s="4">
        <f>IFERROR(__xludf.DUMMYFUNCTION("""COMPUTED_VALUE"""),253.0)</f>
        <v>253</v>
      </c>
      <c r="E447" s="4">
        <f>IFERROR(__xludf.DUMMYFUNCTION("""COMPUTED_VALUE"""),2.0)</f>
        <v>2</v>
      </c>
      <c r="F447" s="4">
        <f>IFERROR(__xludf.DUMMYFUNCTION("""COMPUTED_VALUE"""),4.0)</f>
        <v>4</v>
      </c>
      <c r="G447" s="4">
        <f>IFERROR(__xludf.DUMMYFUNCTION("""COMPUTED_VALUE"""),2.0)</f>
        <v>2</v>
      </c>
      <c r="H447" s="4">
        <f>IFERROR(__xludf.DUMMYFUNCTION("""COMPUTED_VALUE"""),0.0)</f>
        <v>0</v>
      </c>
      <c r="I447" s="2" t="str">
        <f>IFERROR(__xludf.DUMMYFUNCTION("""COMPUTED_VALUE"""),"random")</f>
        <v>random</v>
      </c>
      <c r="J447" s="2">
        <f t="shared" si="2"/>
        <v>9</v>
      </c>
      <c r="K447" s="2">
        <f t="shared" si="3"/>
        <v>1000</v>
      </c>
      <c r="L447" s="2" t="str">
        <f t="shared" si="4"/>
        <v>P</v>
      </c>
    </row>
    <row r="448">
      <c r="A448" s="2" t="str">
        <f>IFERROR(__xludf.DUMMYFUNCTION("""COMPUTED_VALUE"""),"examples/random/sparse_3000_3_4")</f>
        <v>examples/random/sparse_3000_3_4</v>
      </c>
      <c r="B448" s="4">
        <f>IFERROR(__xludf.DUMMYFUNCTION("""COMPUTED_VALUE"""),12000.0)</f>
        <v>12000</v>
      </c>
      <c r="C448" s="4">
        <f>IFERROR(__xludf.DUMMYFUNCTION("""COMPUTED_VALUE"""),60.0)</f>
        <v>60</v>
      </c>
      <c r="D448" s="4">
        <f>IFERROR(__xludf.DUMMYFUNCTION("""COMPUTED_VALUE"""),60000.0)</f>
        <v>60000</v>
      </c>
      <c r="E448" s="4">
        <f>IFERROR(__xludf.DUMMYFUNCTION("""COMPUTED_VALUE"""),287.0)</f>
        <v>287</v>
      </c>
      <c r="F448" s="4">
        <f>IFERROR(__xludf.DUMMYFUNCTION("""COMPUTED_VALUE"""),512.0)</f>
        <v>512</v>
      </c>
      <c r="G448" s="4">
        <f>IFERROR(__xludf.DUMMYFUNCTION("""COMPUTED_VALUE"""),24.0)</f>
        <v>24</v>
      </c>
      <c r="H448" s="4">
        <f>IFERROR(__xludf.DUMMYFUNCTION("""COMPUTED_VALUE"""),5.0)</f>
        <v>5</v>
      </c>
      <c r="I448" s="2" t="str">
        <f>IFERROR(__xludf.DUMMYFUNCTION("""COMPUTED_VALUE"""),"random")</f>
        <v>random</v>
      </c>
      <c r="J448" s="2">
        <f t="shared" si="2"/>
        <v>12</v>
      </c>
      <c r="K448" s="2">
        <f t="shared" si="3"/>
        <v>10000</v>
      </c>
      <c r="L448" s="2" t="str">
        <f t="shared" si="4"/>
        <v>P</v>
      </c>
    </row>
    <row r="449">
      <c r="A449" s="2" t="str">
        <f>IFERROR(__xludf.DUMMYFUNCTION("""COMPUTED_VALUE"""),"examples/random/sparse_100000_2_1")</f>
        <v>examples/random/sparse_100000_2_1</v>
      </c>
      <c r="B449" s="4">
        <f>IFERROR(__xludf.DUMMYFUNCTION("""COMPUTED_VALUE"""),300000.0)</f>
        <v>300000</v>
      </c>
      <c r="C449" s="4">
        <f>IFERROR(__xludf.DUMMYFUNCTION("""COMPUTED_VALUE"""),60.0)</f>
        <v>60</v>
      </c>
      <c r="D449" s="4">
        <f>IFERROR(__xludf.DUMMYFUNCTION("""COMPUTED_VALUE"""),60000.0)</f>
        <v>60000</v>
      </c>
      <c r="E449" s="4">
        <f>IFERROR(__xludf.DUMMYFUNCTION("""COMPUTED_VALUE"""),60000.0)</f>
        <v>60000</v>
      </c>
      <c r="F449" s="4">
        <f>IFERROR(__xludf.DUMMYFUNCTION("""COMPUTED_VALUE"""),60000.0)</f>
        <v>60000</v>
      </c>
      <c r="G449" s="4">
        <f>IFERROR(__xludf.DUMMYFUNCTION("""COMPUTED_VALUE"""),1097.0)</f>
        <v>1097</v>
      </c>
      <c r="H449" s="4">
        <f>IFERROR(__xludf.DUMMYFUNCTION("""COMPUTED_VALUE"""),201.0)</f>
        <v>201</v>
      </c>
      <c r="I449" s="2" t="str">
        <f>IFERROR(__xludf.DUMMYFUNCTION("""COMPUTED_VALUE"""),"random")</f>
        <v>random</v>
      </c>
      <c r="J449" s="2">
        <f t="shared" si="2"/>
        <v>16</v>
      </c>
      <c r="K449" s="2">
        <f t="shared" si="3"/>
        <v>200000</v>
      </c>
      <c r="L449" s="2" t="str">
        <f t="shared" si="4"/>
        <v>P</v>
      </c>
    </row>
    <row r="450">
      <c r="A450" s="2" t="str">
        <f>IFERROR(__xludf.DUMMYFUNCTION("""COMPUTED_VALUE"""),"examples/random/dense_100_3_4")</f>
        <v>examples/random/dense_100_3_4</v>
      </c>
      <c r="B450" s="4">
        <f>IFERROR(__xludf.DUMMYFUNCTION("""COMPUTED_VALUE"""),372.0)</f>
        <v>372</v>
      </c>
      <c r="C450" s="4">
        <f>IFERROR(__xludf.DUMMYFUNCTION("""COMPUTED_VALUE"""),60.0)</f>
        <v>60</v>
      </c>
      <c r="D450" s="4">
        <f>IFERROR(__xludf.DUMMYFUNCTION("""COMPUTED_VALUE"""),11.0)</f>
        <v>11</v>
      </c>
      <c r="E450" s="4">
        <f>IFERROR(__xludf.DUMMYFUNCTION("""COMPUTED_VALUE"""),0.0)</f>
        <v>0</v>
      </c>
      <c r="F450" s="4">
        <f>IFERROR(__xludf.DUMMYFUNCTION("""COMPUTED_VALUE"""),0.0)</f>
        <v>0</v>
      </c>
      <c r="G450" s="4">
        <f>IFERROR(__xludf.DUMMYFUNCTION("""COMPUTED_VALUE"""),0.0)</f>
        <v>0</v>
      </c>
      <c r="H450" s="4">
        <f>IFERROR(__xludf.DUMMYFUNCTION("""COMPUTED_VALUE"""),0.0)</f>
        <v>0</v>
      </c>
      <c r="I450" s="2" t="str">
        <f>IFERROR(__xludf.DUMMYFUNCTION("""COMPUTED_VALUE"""),"random")</f>
        <v>random</v>
      </c>
      <c r="J450" s="2">
        <f t="shared" si="2"/>
        <v>8</v>
      </c>
      <c r="K450" s="2">
        <f t="shared" si="3"/>
        <v>500</v>
      </c>
      <c r="L450" s="2">
        <f t="shared" si="4"/>
        <v>0</v>
      </c>
    </row>
    <row r="451">
      <c r="A451" s="2" t="str">
        <f>IFERROR(__xludf.DUMMYFUNCTION("""COMPUTED_VALUE"""),"examples/random/dense_10000_1_5")</f>
        <v>examples/random/dense_10000_1_5</v>
      </c>
      <c r="B451" s="4">
        <f>IFERROR(__xludf.DUMMYFUNCTION("""COMPUTED_VALUE"""),1010031.0)</f>
        <v>1010031</v>
      </c>
      <c r="C451" s="4">
        <f>IFERROR(__xludf.DUMMYFUNCTION("""COMPUTED_VALUE"""),60.0)</f>
        <v>60</v>
      </c>
      <c r="D451" s="4">
        <f>IFERROR(__xludf.DUMMYFUNCTION("""COMPUTED_VALUE"""),60000.0)</f>
        <v>60000</v>
      </c>
      <c r="E451" s="4">
        <f>IFERROR(__xludf.DUMMYFUNCTION("""COMPUTED_VALUE"""),60000.0)</f>
        <v>60000</v>
      </c>
      <c r="F451" s="4">
        <f>IFERROR(__xludf.DUMMYFUNCTION("""COMPUTED_VALUE"""),60000.0)</f>
        <v>60000</v>
      </c>
      <c r="G451" s="4">
        <f>IFERROR(__xludf.DUMMYFUNCTION("""COMPUTED_VALUE"""),363.0)</f>
        <v>363</v>
      </c>
      <c r="H451" s="4">
        <f>IFERROR(__xludf.DUMMYFUNCTION("""COMPUTED_VALUE"""),223.0)</f>
        <v>223</v>
      </c>
      <c r="I451" s="2" t="str">
        <f>IFERROR(__xludf.DUMMYFUNCTION("""COMPUTED_VALUE"""),"random")</f>
        <v>random</v>
      </c>
      <c r="J451" s="2">
        <f t="shared" si="2"/>
        <v>18</v>
      </c>
      <c r="K451" s="2">
        <f t="shared" si="3"/>
        <v>1000000</v>
      </c>
      <c r="L451" s="2" t="str">
        <f t="shared" si="4"/>
        <v>P</v>
      </c>
    </row>
    <row r="452">
      <c r="A452" s="2" t="str">
        <f>IFERROR(__xludf.DUMMYFUNCTION("""COMPUTED_VALUE"""),"examples/random/sparse_1000_10_4")</f>
        <v>examples/random/sparse_1000_10_4</v>
      </c>
      <c r="B452" s="4">
        <f>IFERROR(__xludf.DUMMYFUNCTION("""COMPUTED_VALUE"""),11000.0)</f>
        <v>11000</v>
      </c>
      <c r="C452" s="4">
        <f>IFERROR(__xludf.DUMMYFUNCTION("""COMPUTED_VALUE"""),60.0)</f>
        <v>60</v>
      </c>
      <c r="D452" s="4">
        <f>IFERROR(__xludf.DUMMYFUNCTION("""COMPUTED_VALUE"""),50178.0)</f>
        <v>50178</v>
      </c>
      <c r="E452" s="4">
        <f>IFERROR(__xludf.DUMMYFUNCTION("""COMPUTED_VALUE"""),145.0)</f>
        <v>145</v>
      </c>
      <c r="F452" s="4">
        <f>IFERROR(__xludf.DUMMYFUNCTION("""COMPUTED_VALUE"""),212.0)</f>
        <v>212</v>
      </c>
      <c r="G452" s="4">
        <f>IFERROR(__xludf.DUMMYFUNCTION("""COMPUTED_VALUE"""),9.0)</f>
        <v>9</v>
      </c>
      <c r="H452" s="4">
        <f>IFERROR(__xludf.DUMMYFUNCTION("""COMPUTED_VALUE"""),3.0)</f>
        <v>3</v>
      </c>
      <c r="I452" s="2" t="str">
        <f>IFERROR(__xludf.DUMMYFUNCTION("""COMPUTED_VALUE"""),"random")</f>
        <v>random</v>
      </c>
      <c r="J452" s="2">
        <f t="shared" si="2"/>
        <v>12</v>
      </c>
      <c r="K452" s="2">
        <f t="shared" si="3"/>
        <v>10000</v>
      </c>
      <c r="L452" s="2" t="str">
        <f t="shared" si="4"/>
        <v>P</v>
      </c>
    </row>
    <row r="453">
      <c r="A453" s="2" t="str">
        <f>IFERROR(__xludf.DUMMYFUNCTION("""COMPUTED_VALUE"""),"examples/random/dense_10000_2_1")</f>
        <v>examples/random/dense_10000_2_1</v>
      </c>
      <c r="B453" s="4">
        <f>IFERROR(__xludf.DUMMYFUNCTION("""COMPUTED_VALUE"""),2012345.0)</f>
        <v>2012345</v>
      </c>
      <c r="C453" s="4">
        <f>IFERROR(__xludf.DUMMYFUNCTION("""COMPUTED_VALUE"""),60.0)</f>
        <v>60</v>
      </c>
      <c r="D453" s="4">
        <f>IFERROR(__xludf.DUMMYFUNCTION("""COMPUTED_VALUE"""),60000.0)</f>
        <v>60000</v>
      </c>
      <c r="E453" s="4">
        <f>IFERROR(__xludf.DUMMYFUNCTION("""COMPUTED_VALUE"""),60000.0)</f>
        <v>60000</v>
      </c>
      <c r="F453" s="4">
        <f>IFERROR(__xludf.DUMMYFUNCTION("""COMPUTED_VALUE"""),60000.0)</f>
        <v>60000</v>
      </c>
      <c r="G453" s="4">
        <f>IFERROR(__xludf.DUMMYFUNCTION("""COMPUTED_VALUE"""),632.0)</f>
        <v>632</v>
      </c>
      <c r="H453" s="4">
        <f>IFERROR(__xludf.DUMMYFUNCTION("""COMPUTED_VALUE"""),443.0)</f>
        <v>443</v>
      </c>
      <c r="I453" s="2" t="str">
        <f>IFERROR(__xludf.DUMMYFUNCTION("""COMPUTED_VALUE"""),"random")</f>
        <v>random</v>
      </c>
      <c r="J453" s="2">
        <f t="shared" si="2"/>
        <v>19</v>
      </c>
      <c r="K453" s="2">
        <f t="shared" si="3"/>
        <v>2000000</v>
      </c>
      <c r="L453" s="2" t="str">
        <f t="shared" si="4"/>
        <v>P</v>
      </c>
    </row>
    <row r="454">
      <c r="A454" s="2" t="str">
        <f>IFERROR(__xludf.DUMMYFUNCTION("""COMPUTED_VALUE"""),"examples/random/sparse_100000_1_10")</f>
        <v>examples/random/sparse_100000_1_10</v>
      </c>
      <c r="B454" s="4">
        <f>IFERROR(__xludf.DUMMYFUNCTION("""COMPUTED_VALUE"""),200000.0)</f>
        <v>200000</v>
      </c>
      <c r="C454" s="4">
        <f>IFERROR(__xludf.DUMMYFUNCTION("""COMPUTED_VALUE"""),60.0)</f>
        <v>60</v>
      </c>
      <c r="D454" s="4">
        <f>IFERROR(__xludf.DUMMYFUNCTION("""COMPUTED_VALUE"""),60000.0)</f>
        <v>60000</v>
      </c>
      <c r="E454" s="4">
        <f>IFERROR(__xludf.DUMMYFUNCTION("""COMPUTED_VALUE"""),302.0)</f>
        <v>302</v>
      </c>
      <c r="F454" s="4">
        <f>IFERROR(__xludf.DUMMYFUNCTION("""COMPUTED_VALUE"""),292.0)</f>
        <v>292</v>
      </c>
      <c r="G454" s="4">
        <f>IFERROR(__xludf.DUMMYFUNCTION("""COMPUTED_VALUE"""),1522.0)</f>
        <v>1522</v>
      </c>
      <c r="H454" s="4">
        <f>IFERROR(__xludf.DUMMYFUNCTION("""COMPUTED_VALUE"""),200.0)</f>
        <v>200</v>
      </c>
      <c r="I454" s="2" t="str">
        <f>IFERROR(__xludf.DUMMYFUNCTION("""COMPUTED_VALUE"""),"random")</f>
        <v>random</v>
      </c>
      <c r="J454" s="2">
        <f t="shared" si="2"/>
        <v>16</v>
      </c>
      <c r="K454" s="2">
        <f t="shared" si="3"/>
        <v>200000</v>
      </c>
      <c r="L454" s="2" t="str">
        <f t="shared" si="4"/>
        <v>P</v>
      </c>
    </row>
    <row r="455">
      <c r="A455" s="2" t="str">
        <f>IFERROR(__xludf.DUMMYFUNCTION("""COMPUTED_VALUE"""),"examples/random/sparse_1000_1_1")</f>
        <v>examples/random/sparse_1000_1_1</v>
      </c>
      <c r="B455" s="4">
        <f>IFERROR(__xludf.DUMMYFUNCTION("""COMPUTED_VALUE"""),2000.0)</f>
        <v>2000</v>
      </c>
      <c r="C455" s="4">
        <f>IFERROR(__xludf.DUMMYFUNCTION("""COMPUTED_VALUE"""),60.0)</f>
        <v>60</v>
      </c>
      <c r="D455" s="4">
        <f>IFERROR(__xludf.DUMMYFUNCTION("""COMPUTED_VALUE"""),162.0)</f>
        <v>162</v>
      </c>
      <c r="E455" s="4">
        <f>IFERROR(__xludf.DUMMYFUNCTION("""COMPUTED_VALUE"""),2.0)</f>
        <v>2</v>
      </c>
      <c r="F455" s="4">
        <f>IFERROR(__xludf.DUMMYFUNCTION("""COMPUTED_VALUE"""),1.0)</f>
        <v>1</v>
      </c>
      <c r="G455" s="4">
        <f>IFERROR(__xludf.DUMMYFUNCTION("""COMPUTED_VALUE"""),9.0)</f>
        <v>9</v>
      </c>
      <c r="H455" s="4">
        <f>IFERROR(__xludf.DUMMYFUNCTION("""COMPUTED_VALUE"""),1.0)</f>
        <v>1</v>
      </c>
      <c r="I455" s="2" t="str">
        <f>IFERROR(__xludf.DUMMYFUNCTION("""COMPUTED_VALUE"""),"random")</f>
        <v>random</v>
      </c>
      <c r="J455" s="2">
        <f t="shared" si="2"/>
        <v>10</v>
      </c>
      <c r="K455" s="2">
        <f t="shared" si="3"/>
        <v>2000</v>
      </c>
      <c r="L455" s="2" t="str">
        <f t="shared" si="4"/>
        <v>BP</v>
      </c>
    </row>
    <row r="456">
      <c r="A456" s="2" t="str">
        <f>IFERROR(__xludf.DUMMYFUNCTION("""COMPUTED_VALUE"""),"examples/random/sparse_3000_10_10")</f>
        <v>examples/random/sparse_3000_10_10</v>
      </c>
      <c r="B456" s="4">
        <f>IFERROR(__xludf.DUMMYFUNCTION("""COMPUTED_VALUE"""),33000.0)</f>
        <v>33000</v>
      </c>
      <c r="C456" s="4">
        <f>IFERROR(__xludf.DUMMYFUNCTION("""COMPUTED_VALUE"""),60.0)</f>
        <v>60</v>
      </c>
      <c r="D456" s="4">
        <f>IFERROR(__xludf.DUMMYFUNCTION("""COMPUTED_VALUE"""),60000.0)</f>
        <v>60000</v>
      </c>
      <c r="E456" s="4">
        <f>IFERROR(__xludf.DUMMYFUNCTION("""COMPUTED_VALUE"""),1378.0)</f>
        <v>1378</v>
      </c>
      <c r="F456" s="4">
        <f>IFERROR(__xludf.DUMMYFUNCTION("""COMPUTED_VALUE"""),2010.0)</f>
        <v>2010</v>
      </c>
      <c r="G456" s="4">
        <f>IFERROR(__xludf.DUMMYFUNCTION("""COMPUTED_VALUE"""),30.0)</f>
        <v>30</v>
      </c>
      <c r="H456" s="4">
        <f>IFERROR(__xludf.DUMMYFUNCTION("""COMPUTED_VALUE"""),10.0)</f>
        <v>10</v>
      </c>
      <c r="I456" s="2" t="str">
        <f>IFERROR(__xludf.DUMMYFUNCTION("""COMPUTED_VALUE"""),"random")</f>
        <v>random</v>
      </c>
      <c r="J456" s="2">
        <f t="shared" si="2"/>
        <v>14</v>
      </c>
      <c r="K456" s="2">
        <f t="shared" si="3"/>
        <v>50000</v>
      </c>
      <c r="L456" s="2" t="str">
        <f t="shared" si="4"/>
        <v>P</v>
      </c>
    </row>
    <row r="457">
      <c r="A457" s="2" t="str">
        <f>IFERROR(__xludf.DUMMYFUNCTION("""COMPUTED_VALUE"""),"examples/random/dense_300_2_3")</f>
        <v>examples/random/dense_300_2_3</v>
      </c>
      <c r="B457" s="4">
        <f>IFERROR(__xludf.DUMMYFUNCTION("""COMPUTED_VALUE"""),2140.0)</f>
        <v>2140</v>
      </c>
      <c r="C457" s="4">
        <f>IFERROR(__xludf.DUMMYFUNCTION("""COMPUTED_VALUE"""),60.0)</f>
        <v>60</v>
      </c>
      <c r="D457" s="4">
        <f>IFERROR(__xludf.DUMMYFUNCTION("""COMPUTED_VALUE"""),885.0)</f>
        <v>885</v>
      </c>
      <c r="E457" s="4">
        <f>IFERROR(__xludf.DUMMYFUNCTION("""COMPUTED_VALUE"""),7.0)</f>
        <v>7</v>
      </c>
      <c r="F457" s="4">
        <f>IFERROR(__xludf.DUMMYFUNCTION("""COMPUTED_VALUE"""),10.0)</f>
        <v>10</v>
      </c>
      <c r="G457" s="4">
        <f>IFERROR(__xludf.DUMMYFUNCTION("""COMPUTED_VALUE"""),2.0)</f>
        <v>2</v>
      </c>
      <c r="H457" s="4">
        <f>IFERROR(__xludf.DUMMYFUNCTION("""COMPUTED_VALUE"""),0.0)</f>
        <v>0</v>
      </c>
      <c r="I457" s="2" t="str">
        <f>IFERROR(__xludf.DUMMYFUNCTION("""COMPUTED_VALUE"""),"random")</f>
        <v>random</v>
      </c>
      <c r="J457" s="2">
        <f t="shared" si="2"/>
        <v>10</v>
      </c>
      <c r="K457" s="2">
        <f t="shared" si="3"/>
        <v>2000</v>
      </c>
      <c r="L457" s="2" t="str">
        <f t="shared" si="4"/>
        <v>P</v>
      </c>
    </row>
    <row r="458">
      <c r="A458" s="2" t="str">
        <f>IFERROR(__xludf.DUMMYFUNCTION("""COMPUTED_VALUE"""),"examples/random/sparse_100000_1_5")</f>
        <v>examples/random/sparse_100000_1_5</v>
      </c>
      <c r="B458" s="4">
        <f>IFERROR(__xludf.DUMMYFUNCTION("""COMPUTED_VALUE"""),200000.0)</f>
        <v>200000</v>
      </c>
      <c r="C458" s="4">
        <f>IFERROR(__xludf.DUMMYFUNCTION("""COMPUTED_VALUE"""),60.0)</f>
        <v>60</v>
      </c>
      <c r="D458" s="4">
        <f>IFERROR(__xludf.DUMMYFUNCTION("""COMPUTED_VALUE"""),60000.0)</f>
        <v>60000</v>
      </c>
      <c r="E458" s="4">
        <f>IFERROR(__xludf.DUMMYFUNCTION("""COMPUTED_VALUE"""),307.0)</f>
        <v>307</v>
      </c>
      <c r="F458" s="4">
        <f>IFERROR(__xludf.DUMMYFUNCTION("""COMPUTED_VALUE"""),294.0)</f>
        <v>294</v>
      </c>
      <c r="G458" s="4">
        <f>IFERROR(__xludf.DUMMYFUNCTION("""COMPUTED_VALUE"""),1512.0)</f>
        <v>1512</v>
      </c>
      <c r="H458" s="4">
        <f>IFERROR(__xludf.DUMMYFUNCTION("""COMPUTED_VALUE"""),200.0)</f>
        <v>200</v>
      </c>
      <c r="I458" s="2" t="str">
        <f>IFERROR(__xludf.DUMMYFUNCTION("""COMPUTED_VALUE"""),"random")</f>
        <v>random</v>
      </c>
      <c r="J458" s="2">
        <f t="shared" si="2"/>
        <v>16</v>
      </c>
      <c r="K458" s="2">
        <f t="shared" si="3"/>
        <v>200000</v>
      </c>
      <c r="L458" s="2" t="str">
        <f t="shared" si="4"/>
        <v>P</v>
      </c>
    </row>
    <row r="459">
      <c r="A459" s="2" t="str">
        <f>IFERROR(__xludf.DUMMYFUNCTION("""COMPUTED_VALUE"""),"examples/random/dense_3000_3_4")</f>
        <v>examples/random/dense_3000_3_4</v>
      </c>
      <c r="B459" s="4">
        <f>IFERROR(__xludf.DUMMYFUNCTION("""COMPUTED_VALUE"""),272816.0)</f>
        <v>272816</v>
      </c>
      <c r="C459" s="4">
        <f>IFERROR(__xludf.DUMMYFUNCTION("""COMPUTED_VALUE"""),60.0)</f>
        <v>60</v>
      </c>
      <c r="D459" s="4">
        <f>IFERROR(__xludf.DUMMYFUNCTION("""COMPUTED_VALUE"""),60000.0)</f>
        <v>60000</v>
      </c>
      <c r="E459" s="4">
        <f>IFERROR(__xludf.DUMMYFUNCTION("""COMPUTED_VALUE"""),12687.0)</f>
        <v>12687</v>
      </c>
      <c r="F459" s="4">
        <f>IFERROR(__xludf.DUMMYFUNCTION("""COMPUTED_VALUE"""),35859.0)</f>
        <v>35859</v>
      </c>
      <c r="G459" s="4">
        <f>IFERROR(__xludf.DUMMYFUNCTION("""COMPUTED_VALUE"""),95.0)</f>
        <v>95</v>
      </c>
      <c r="H459" s="4">
        <f>IFERROR(__xludf.DUMMYFUNCTION("""COMPUTED_VALUE"""),57.0)</f>
        <v>57</v>
      </c>
      <c r="I459" s="2" t="str">
        <f>IFERROR(__xludf.DUMMYFUNCTION("""COMPUTED_VALUE"""),"random")</f>
        <v>random</v>
      </c>
      <c r="J459" s="2">
        <f t="shared" si="2"/>
        <v>16</v>
      </c>
      <c r="K459" s="2">
        <f t="shared" si="3"/>
        <v>200000</v>
      </c>
      <c r="L459" s="2" t="str">
        <f t="shared" si="4"/>
        <v>P</v>
      </c>
    </row>
    <row r="460">
      <c r="A460" s="2" t="str">
        <f>IFERROR(__xludf.DUMMYFUNCTION("""COMPUTED_VALUE"""),"examples/random/sparse_30000_3_2")</f>
        <v>examples/random/sparse_30000_3_2</v>
      </c>
      <c r="B460" s="4">
        <f>IFERROR(__xludf.DUMMYFUNCTION("""COMPUTED_VALUE"""),120000.0)</f>
        <v>120000</v>
      </c>
      <c r="C460" s="4">
        <f>IFERROR(__xludf.DUMMYFUNCTION("""COMPUTED_VALUE"""),60.0)</f>
        <v>60</v>
      </c>
      <c r="D460" s="4">
        <f>IFERROR(__xludf.DUMMYFUNCTION("""COMPUTED_VALUE"""),60000.0)</f>
        <v>60000</v>
      </c>
      <c r="E460" s="4">
        <f>IFERROR(__xludf.DUMMYFUNCTION("""COMPUTED_VALUE"""),32324.0)</f>
        <v>32324</v>
      </c>
      <c r="F460" s="4">
        <f>IFERROR(__xludf.DUMMYFUNCTION("""COMPUTED_VALUE"""),56452.0)</f>
        <v>56452</v>
      </c>
      <c r="G460" s="4">
        <f>IFERROR(__xludf.DUMMYFUNCTION("""COMPUTED_VALUE"""),291.0)</f>
        <v>291</v>
      </c>
      <c r="H460" s="4">
        <f>IFERROR(__xludf.DUMMYFUNCTION("""COMPUTED_VALUE"""),63.0)</f>
        <v>63</v>
      </c>
      <c r="I460" s="2" t="str">
        <f>IFERROR(__xludf.DUMMYFUNCTION("""COMPUTED_VALUE"""),"random")</f>
        <v>random</v>
      </c>
      <c r="J460" s="2">
        <f t="shared" si="2"/>
        <v>15</v>
      </c>
      <c r="K460" s="2">
        <f t="shared" si="3"/>
        <v>100000</v>
      </c>
      <c r="L460" s="2" t="str">
        <f t="shared" si="4"/>
        <v>P</v>
      </c>
    </row>
    <row r="461">
      <c r="A461" s="2" t="str">
        <f>IFERROR(__xludf.DUMMYFUNCTION("""COMPUTED_VALUE"""),"examples/random/sparse_10000_3_10")</f>
        <v>examples/random/sparse_10000_3_10</v>
      </c>
      <c r="B461" s="4">
        <f>IFERROR(__xludf.DUMMYFUNCTION("""COMPUTED_VALUE"""),40000.0)</f>
        <v>40000</v>
      </c>
      <c r="C461" s="4">
        <f>IFERROR(__xludf.DUMMYFUNCTION("""COMPUTED_VALUE"""),60.0)</f>
        <v>60</v>
      </c>
      <c r="D461" s="4">
        <f>IFERROR(__xludf.DUMMYFUNCTION("""COMPUTED_VALUE"""),60000.0)</f>
        <v>60000</v>
      </c>
      <c r="E461" s="4">
        <f>IFERROR(__xludf.DUMMYFUNCTION("""COMPUTED_VALUE"""),3275.0)</f>
        <v>3275</v>
      </c>
      <c r="F461" s="4">
        <f>IFERROR(__xludf.DUMMYFUNCTION("""COMPUTED_VALUE"""),5670.0)</f>
        <v>5670</v>
      </c>
      <c r="G461" s="4">
        <f>IFERROR(__xludf.DUMMYFUNCTION("""COMPUTED_VALUE"""),146.0)</f>
        <v>146</v>
      </c>
      <c r="H461" s="4">
        <f>IFERROR(__xludf.DUMMYFUNCTION("""COMPUTED_VALUE"""),26.0)</f>
        <v>26</v>
      </c>
      <c r="I461" s="2" t="str">
        <f>IFERROR(__xludf.DUMMYFUNCTION("""COMPUTED_VALUE"""),"random")</f>
        <v>random</v>
      </c>
      <c r="J461" s="2">
        <f t="shared" si="2"/>
        <v>14</v>
      </c>
      <c r="K461" s="2">
        <f t="shared" si="3"/>
        <v>50000</v>
      </c>
      <c r="L461" s="2" t="str">
        <f t="shared" si="4"/>
        <v>P</v>
      </c>
    </row>
    <row r="462">
      <c r="A462" s="2" t="str">
        <f>IFERROR(__xludf.DUMMYFUNCTION("""COMPUTED_VALUE"""),"examples/random/sparse_10000_10_9")</f>
        <v>examples/random/sparse_10000_10_9</v>
      </c>
      <c r="B462" s="4">
        <f>IFERROR(__xludf.DUMMYFUNCTION("""COMPUTED_VALUE"""),110000.0)</f>
        <v>110000</v>
      </c>
      <c r="C462" s="4">
        <f>IFERROR(__xludf.DUMMYFUNCTION("""COMPUTED_VALUE"""),60.0)</f>
        <v>60</v>
      </c>
      <c r="D462" s="4">
        <f>IFERROR(__xludf.DUMMYFUNCTION("""COMPUTED_VALUE"""),60000.0)</f>
        <v>60000</v>
      </c>
      <c r="E462" s="4">
        <f>IFERROR(__xludf.DUMMYFUNCTION("""COMPUTED_VALUE"""),16002.0)</f>
        <v>16002</v>
      </c>
      <c r="F462" s="4">
        <f>IFERROR(__xludf.DUMMYFUNCTION("""COMPUTED_VALUE"""),23160.0)</f>
        <v>23160</v>
      </c>
      <c r="G462" s="4">
        <f>IFERROR(__xludf.DUMMYFUNCTION("""COMPUTED_VALUE"""),102.0)</f>
        <v>102</v>
      </c>
      <c r="H462" s="4">
        <f>IFERROR(__xludf.DUMMYFUNCTION("""COMPUTED_VALUE"""),34.0)</f>
        <v>34</v>
      </c>
      <c r="I462" s="2" t="str">
        <f>IFERROR(__xludf.DUMMYFUNCTION("""COMPUTED_VALUE"""),"random")</f>
        <v>random</v>
      </c>
      <c r="J462" s="2">
        <f t="shared" si="2"/>
        <v>15</v>
      </c>
      <c r="K462" s="2">
        <f t="shared" si="3"/>
        <v>100000</v>
      </c>
      <c r="L462" s="2" t="str">
        <f t="shared" si="4"/>
        <v>P</v>
      </c>
    </row>
    <row r="463">
      <c r="A463" s="2" t="str">
        <f>IFERROR(__xludf.DUMMYFUNCTION("""COMPUTED_VALUE"""),"examples/random/dense_1000_2_5")</f>
        <v>examples/random/dense_1000_2_5</v>
      </c>
      <c r="B463" s="4">
        <f>IFERROR(__xludf.DUMMYFUNCTION("""COMPUTED_VALUE"""),21132.0)</f>
        <v>21132</v>
      </c>
      <c r="C463" s="4">
        <f>IFERROR(__xludf.DUMMYFUNCTION("""COMPUTED_VALUE"""),60.0)</f>
        <v>60</v>
      </c>
      <c r="D463" s="4">
        <f>IFERROR(__xludf.DUMMYFUNCTION("""COMPUTED_VALUE"""),60000.0)</f>
        <v>60000</v>
      </c>
      <c r="E463" s="4">
        <f>IFERROR(__xludf.DUMMYFUNCTION("""COMPUTED_VALUE"""),310.0)</f>
        <v>310</v>
      </c>
      <c r="F463" s="4">
        <f>IFERROR(__xludf.DUMMYFUNCTION("""COMPUTED_VALUE"""),432.0)</f>
        <v>432</v>
      </c>
      <c r="G463" s="4">
        <f>IFERROR(__xludf.DUMMYFUNCTION("""COMPUTED_VALUE"""),12.0)</f>
        <v>12</v>
      </c>
      <c r="H463" s="4">
        <f>IFERROR(__xludf.DUMMYFUNCTION("""COMPUTED_VALUE"""),4.0)</f>
        <v>4</v>
      </c>
      <c r="I463" s="2" t="str">
        <f>IFERROR(__xludf.DUMMYFUNCTION("""COMPUTED_VALUE"""),"random")</f>
        <v>random</v>
      </c>
      <c r="J463" s="2">
        <f t="shared" si="2"/>
        <v>13</v>
      </c>
      <c r="K463" s="2">
        <f t="shared" si="3"/>
        <v>20000</v>
      </c>
      <c r="L463" s="2" t="str">
        <f t="shared" si="4"/>
        <v>P</v>
      </c>
    </row>
    <row r="464">
      <c r="A464" s="2" t="str">
        <f>IFERROR(__xludf.DUMMYFUNCTION("""COMPUTED_VALUE"""),"examples/random/sparse_10000_3_6")</f>
        <v>examples/random/sparse_10000_3_6</v>
      </c>
      <c r="B464" s="4">
        <f>IFERROR(__xludf.DUMMYFUNCTION("""COMPUTED_VALUE"""),40000.0)</f>
        <v>40000</v>
      </c>
      <c r="C464" s="4">
        <f>IFERROR(__xludf.DUMMYFUNCTION("""COMPUTED_VALUE"""),60.0)</f>
        <v>60</v>
      </c>
      <c r="D464" s="4">
        <f>IFERROR(__xludf.DUMMYFUNCTION("""COMPUTED_VALUE"""),60000.0)</f>
        <v>60000</v>
      </c>
      <c r="E464" s="4">
        <f>IFERROR(__xludf.DUMMYFUNCTION("""COMPUTED_VALUE"""),3254.0)</f>
        <v>3254</v>
      </c>
      <c r="F464" s="4">
        <f>IFERROR(__xludf.DUMMYFUNCTION("""COMPUTED_VALUE"""),5783.0)</f>
        <v>5783</v>
      </c>
      <c r="G464" s="4">
        <f>IFERROR(__xludf.DUMMYFUNCTION("""COMPUTED_VALUE"""),83.0)</f>
        <v>83</v>
      </c>
      <c r="H464" s="4">
        <f>IFERROR(__xludf.DUMMYFUNCTION("""COMPUTED_VALUE"""),17.0)</f>
        <v>17</v>
      </c>
      <c r="I464" s="2" t="str">
        <f>IFERROR(__xludf.DUMMYFUNCTION("""COMPUTED_VALUE"""),"random")</f>
        <v>random</v>
      </c>
      <c r="J464" s="2">
        <f t="shared" si="2"/>
        <v>14</v>
      </c>
      <c r="K464" s="2">
        <f t="shared" si="3"/>
        <v>50000</v>
      </c>
      <c r="L464" s="2" t="str">
        <f t="shared" si="4"/>
        <v>P</v>
      </c>
    </row>
    <row r="465">
      <c r="A465" s="2" t="str">
        <f>IFERROR(__xludf.DUMMYFUNCTION("""COMPUTED_VALUE"""),"examples/random/sparse_10000_1_8")</f>
        <v>examples/random/sparse_10000_1_8</v>
      </c>
      <c r="B465" s="4">
        <f>IFERROR(__xludf.DUMMYFUNCTION("""COMPUTED_VALUE"""),20000.0)</f>
        <v>20000</v>
      </c>
      <c r="C465" s="4">
        <f>IFERROR(__xludf.DUMMYFUNCTION("""COMPUTED_VALUE"""),60.0)</f>
        <v>60</v>
      </c>
      <c r="D465" s="4">
        <f>IFERROR(__xludf.DUMMYFUNCTION("""COMPUTED_VALUE"""),17939.0)</f>
        <v>17939</v>
      </c>
      <c r="E465" s="4">
        <f>IFERROR(__xludf.DUMMYFUNCTION("""COMPUTED_VALUE"""),22.0)</f>
        <v>22</v>
      </c>
      <c r="F465" s="4">
        <f>IFERROR(__xludf.DUMMYFUNCTION("""COMPUTED_VALUE"""),20.0)</f>
        <v>20</v>
      </c>
      <c r="G465" s="4">
        <f>IFERROR(__xludf.DUMMYFUNCTION("""COMPUTED_VALUE"""),117.0)</f>
        <v>117</v>
      </c>
      <c r="H465" s="4">
        <f>IFERROR(__xludf.DUMMYFUNCTION("""COMPUTED_VALUE"""),15.0)</f>
        <v>15</v>
      </c>
      <c r="I465" s="2" t="str">
        <f>IFERROR(__xludf.DUMMYFUNCTION("""COMPUTED_VALUE"""),"random")</f>
        <v>random</v>
      </c>
      <c r="J465" s="2">
        <f t="shared" si="2"/>
        <v>13</v>
      </c>
      <c r="K465" s="2">
        <f t="shared" si="3"/>
        <v>20000</v>
      </c>
      <c r="L465" s="2" t="str">
        <f t="shared" si="4"/>
        <v>P</v>
      </c>
    </row>
    <row r="466">
      <c r="A466" s="2" t="str">
        <f>IFERROR(__xludf.DUMMYFUNCTION("""COMPUTED_VALUE"""),"examples/random/dense_1000_3_10")</f>
        <v>examples/random/dense_1000_3_10</v>
      </c>
      <c r="B466" s="4">
        <f>IFERROR(__xludf.DUMMYFUNCTION("""COMPUTED_VALUE"""),30973.0)</f>
        <v>30973</v>
      </c>
      <c r="C466" s="4">
        <f>IFERROR(__xludf.DUMMYFUNCTION("""COMPUTED_VALUE"""),60.0)</f>
        <v>60</v>
      </c>
      <c r="D466" s="4">
        <f>IFERROR(__xludf.DUMMYFUNCTION("""COMPUTED_VALUE"""),60000.0)</f>
        <v>60000</v>
      </c>
      <c r="E466" s="4">
        <f>IFERROR(__xludf.DUMMYFUNCTION("""COMPUTED_VALUE"""),443.0)</f>
        <v>443</v>
      </c>
      <c r="F466" s="4">
        <f>IFERROR(__xludf.DUMMYFUNCTION("""COMPUTED_VALUE"""),675.0)</f>
        <v>675</v>
      </c>
      <c r="G466" s="4">
        <f>IFERROR(__xludf.DUMMYFUNCTION("""COMPUTED_VALUE"""),14.0)</f>
        <v>14</v>
      </c>
      <c r="H466" s="4">
        <f>IFERROR(__xludf.DUMMYFUNCTION("""COMPUTED_VALUE"""),6.0)</f>
        <v>6</v>
      </c>
      <c r="I466" s="2" t="str">
        <f>IFERROR(__xludf.DUMMYFUNCTION("""COMPUTED_VALUE"""),"random")</f>
        <v>random</v>
      </c>
      <c r="J466" s="2">
        <f t="shared" si="2"/>
        <v>13</v>
      </c>
      <c r="K466" s="2">
        <f t="shared" si="3"/>
        <v>20000</v>
      </c>
      <c r="L466" s="2" t="str">
        <f t="shared" si="4"/>
        <v>P</v>
      </c>
    </row>
    <row r="467">
      <c r="A467" s="2" t="str">
        <f>IFERROR(__xludf.DUMMYFUNCTION("""COMPUTED_VALUE"""),"examples/random/sparse_300_3_1")</f>
        <v>examples/random/sparse_300_3_1</v>
      </c>
      <c r="B467" s="4">
        <f>IFERROR(__xludf.DUMMYFUNCTION("""COMPUTED_VALUE"""),1200.0)</f>
        <v>1200</v>
      </c>
      <c r="C467" s="4">
        <f>IFERROR(__xludf.DUMMYFUNCTION("""COMPUTED_VALUE"""),60.0)</f>
        <v>60</v>
      </c>
      <c r="D467" s="4">
        <f>IFERROR(__xludf.DUMMYFUNCTION("""COMPUTED_VALUE"""),366.0)</f>
        <v>366</v>
      </c>
      <c r="E467" s="4">
        <f>IFERROR(__xludf.DUMMYFUNCTION("""COMPUTED_VALUE"""),3.0)</f>
        <v>3</v>
      </c>
      <c r="F467" s="4">
        <f>IFERROR(__xludf.DUMMYFUNCTION("""COMPUTED_VALUE"""),5.0)</f>
        <v>5</v>
      </c>
      <c r="G467" s="4">
        <f>IFERROR(__xludf.DUMMYFUNCTION("""COMPUTED_VALUE"""),2.0)</f>
        <v>2</v>
      </c>
      <c r="H467" s="4">
        <f>IFERROR(__xludf.DUMMYFUNCTION("""COMPUTED_VALUE"""),0.0)</f>
        <v>0</v>
      </c>
      <c r="I467" s="2" t="str">
        <f>IFERROR(__xludf.DUMMYFUNCTION("""COMPUTED_VALUE"""),"random")</f>
        <v>random</v>
      </c>
      <c r="J467" s="2">
        <f t="shared" si="2"/>
        <v>9</v>
      </c>
      <c r="K467" s="2">
        <f t="shared" si="3"/>
        <v>1000</v>
      </c>
      <c r="L467" s="2" t="str">
        <f t="shared" si="4"/>
        <v>P</v>
      </c>
    </row>
    <row r="468">
      <c r="A468" s="2" t="str">
        <f>IFERROR(__xludf.DUMMYFUNCTION("""COMPUTED_VALUE"""),"examples/random/sparse_300_10_6")</f>
        <v>examples/random/sparse_300_10_6</v>
      </c>
      <c r="B468" s="4">
        <f>IFERROR(__xludf.DUMMYFUNCTION("""COMPUTED_VALUE"""),3300.0)</f>
        <v>3300</v>
      </c>
      <c r="C468" s="4">
        <f>IFERROR(__xludf.DUMMYFUNCTION("""COMPUTED_VALUE"""),60.0)</f>
        <v>60</v>
      </c>
      <c r="D468" s="4">
        <f>IFERROR(__xludf.DUMMYFUNCTION("""COMPUTED_VALUE"""),1319.0)</f>
        <v>1319</v>
      </c>
      <c r="E468" s="4">
        <f>IFERROR(__xludf.DUMMYFUNCTION("""COMPUTED_VALUE"""),12.0)</f>
        <v>12</v>
      </c>
      <c r="F468" s="4">
        <f>IFERROR(__xludf.DUMMYFUNCTION("""COMPUTED_VALUE"""),18.0)</f>
        <v>18</v>
      </c>
      <c r="G468" s="4">
        <f>IFERROR(__xludf.DUMMYFUNCTION("""COMPUTED_VALUE"""),2.0)</f>
        <v>2</v>
      </c>
      <c r="H468" s="4">
        <f>IFERROR(__xludf.DUMMYFUNCTION("""COMPUTED_VALUE"""),1.0)</f>
        <v>1</v>
      </c>
      <c r="I468" s="2" t="str">
        <f>IFERROR(__xludf.DUMMYFUNCTION("""COMPUTED_VALUE"""),"random")</f>
        <v>random</v>
      </c>
      <c r="J468" s="2">
        <f t="shared" si="2"/>
        <v>11</v>
      </c>
      <c r="K468" s="2">
        <f t="shared" si="3"/>
        <v>5000</v>
      </c>
      <c r="L468" s="2" t="str">
        <f t="shared" si="4"/>
        <v>P</v>
      </c>
    </row>
    <row r="469">
      <c r="A469" s="2" t="str">
        <f>IFERROR(__xludf.DUMMYFUNCTION("""COMPUTED_VALUE"""),"examples/random/sparse_30000_2_8")</f>
        <v>examples/random/sparse_30000_2_8</v>
      </c>
      <c r="B469" s="4">
        <f>IFERROR(__xludf.DUMMYFUNCTION("""COMPUTED_VALUE"""),90000.0)</f>
        <v>90000</v>
      </c>
      <c r="C469" s="4">
        <f>IFERROR(__xludf.DUMMYFUNCTION("""COMPUTED_VALUE"""),60.0)</f>
        <v>60</v>
      </c>
      <c r="D469" s="4">
        <f>IFERROR(__xludf.DUMMYFUNCTION("""COMPUTED_VALUE"""),60000.0)</f>
        <v>60000</v>
      </c>
      <c r="E469" s="4">
        <f>IFERROR(__xludf.DUMMYFUNCTION("""COMPUTED_VALUE"""),13717.0)</f>
        <v>13717</v>
      </c>
      <c r="F469" s="4">
        <f>IFERROR(__xludf.DUMMYFUNCTION("""COMPUTED_VALUE"""),24881.0)</f>
        <v>24881</v>
      </c>
      <c r="G469" s="4">
        <f>IFERROR(__xludf.DUMMYFUNCTION("""COMPUTED_VALUE"""),267.0)</f>
        <v>267</v>
      </c>
      <c r="H469" s="4">
        <f>IFERROR(__xludf.DUMMYFUNCTION("""COMPUTED_VALUE"""),50.0)</f>
        <v>50</v>
      </c>
      <c r="I469" s="2" t="str">
        <f>IFERROR(__xludf.DUMMYFUNCTION("""COMPUTED_VALUE"""),"random")</f>
        <v>random</v>
      </c>
      <c r="J469" s="2">
        <f t="shared" si="2"/>
        <v>15</v>
      </c>
      <c r="K469" s="2">
        <f t="shared" si="3"/>
        <v>100000</v>
      </c>
      <c r="L469" s="2" t="str">
        <f t="shared" si="4"/>
        <v>P</v>
      </c>
    </row>
    <row r="470">
      <c r="A470" s="2" t="str">
        <f>IFERROR(__xludf.DUMMYFUNCTION("""COMPUTED_VALUE"""),"examples/random/dense_1000_1_1")</f>
        <v>examples/random/dense_1000_1_1</v>
      </c>
      <c r="B470" s="4">
        <f>IFERROR(__xludf.DUMMYFUNCTION("""COMPUTED_VALUE"""),11125.0)</f>
        <v>11125</v>
      </c>
      <c r="C470" s="4">
        <f>IFERROR(__xludf.DUMMYFUNCTION("""COMPUTED_VALUE"""),60.0)</f>
        <v>60</v>
      </c>
      <c r="D470" s="4">
        <f>IFERROR(__xludf.DUMMYFUNCTION("""COMPUTED_VALUE"""),50997.0)</f>
        <v>50997</v>
      </c>
      <c r="E470" s="4">
        <f>IFERROR(__xludf.DUMMYFUNCTION("""COMPUTED_VALUE"""),146.0)</f>
        <v>146</v>
      </c>
      <c r="F470" s="4">
        <f>IFERROR(__xludf.DUMMYFUNCTION("""COMPUTED_VALUE"""),199.0)</f>
        <v>199</v>
      </c>
      <c r="G470" s="4">
        <f>IFERROR(__xludf.DUMMYFUNCTION("""COMPUTED_VALUE"""),8.0)</f>
        <v>8</v>
      </c>
      <c r="H470" s="4">
        <f>IFERROR(__xludf.DUMMYFUNCTION("""COMPUTED_VALUE"""),2.0)</f>
        <v>2</v>
      </c>
      <c r="I470" s="2" t="str">
        <f>IFERROR(__xludf.DUMMYFUNCTION("""COMPUTED_VALUE"""),"random")</f>
        <v>random</v>
      </c>
      <c r="J470" s="2">
        <f t="shared" si="2"/>
        <v>12</v>
      </c>
      <c r="K470" s="2">
        <f t="shared" si="3"/>
        <v>10000</v>
      </c>
      <c r="L470" s="2" t="str">
        <f t="shared" si="4"/>
        <v>P</v>
      </c>
    </row>
    <row r="471">
      <c r="A471" s="2" t="str">
        <f>IFERROR(__xludf.DUMMYFUNCTION("""COMPUTED_VALUE"""),"examples/random/sparse_100000_10_3")</f>
        <v>examples/random/sparse_100000_10_3</v>
      </c>
      <c r="B471" s="4">
        <f>IFERROR(__xludf.DUMMYFUNCTION("""COMPUTED_VALUE"""),1100000.0)</f>
        <v>1100000</v>
      </c>
      <c r="C471" s="4">
        <f>IFERROR(__xludf.DUMMYFUNCTION("""COMPUTED_VALUE"""),60.0)</f>
        <v>60</v>
      </c>
      <c r="D471" s="4">
        <f>IFERROR(__xludf.DUMMYFUNCTION("""COMPUTED_VALUE"""),60000.0)</f>
        <v>60000</v>
      </c>
      <c r="E471" s="4">
        <f>IFERROR(__xludf.DUMMYFUNCTION("""COMPUTED_VALUE"""),60000.0)</f>
        <v>60000</v>
      </c>
      <c r="F471" s="4">
        <f>IFERROR(__xludf.DUMMYFUNCTION("""COMPUTED_VALUE"""),60000.0)</f>
        <v>60000</v>
      </c>
      <c r="G471" s="4">
        <f>IFERROR(__xludf.DUMMYFUNCTION("""COMPUTED_VALUE"""),1548.0)</f>
        <v>1548</v>
      </c>
      <c r="H471" s="4">
        <f>IFERROR(__xludf.DUMMYFUNCTION("""COMPUTED_VALUE"""),474.0)</f>
        <v>474</v>
      </c>
      <c r="I471" s="2" t="str">
        <f>IFERROR(__xludf.DUMMYFUNCTION("""COMPUTED_VALUE"""),"random")</f>
        <v>random</v>
      </c>
      <c r="J471" s="2">
        <f t="shared" si="2"/>
        <v>18</v>
      </c>
      <c r="K471" s="2">
        <f t="shared" si="3"/>
        <v>1000000</v>
      </c>
      <c r="L471" s="2" t="str">
        <f t="shared" si="4"/>
        <v>P</v>
      </c>
    </row>
    <row r="472">
      <c r="A472" s="2" t="str">
        <f>IFERROR(__xludf.DUMMYFUNCTION("""COMPUTED_VALUE"""),"examples/regex/date/date_unsat")</f>
        <v>examples/regex/date/date_unsat</v>
      </c>
      <c r="B472" s="4">
        <f>IFERROR(__xludf.DUMMYFUNCTION("""COMPUTED_VALUE"""),1733.0)</f>
        <v>1733</v>
      </c>
      <c r="C472" s="4">
        <f>IFERROR(__xludf.DUMMYFUNCTION("""COMPUTED_VALUE"""),60.0)</f>
        <v>60</v>
      </c>
      <c r="D472" s="4">
        <f>IFERROR(__xludf.DUMMYFUNCTION("""COMPUTED_VALUE"""),38.0)</f>
        <v>38</v>
      </c>
      <c r="E472" s="4">
        <f>IFERROR(__xludf.DUMMYFUNCTION("""COMPUTED_VALUE"""),1.0)</f>
        <v>1</v>
      </c>
      <c r="F472" s="4">
        <f>IFERROR(__xludf.DUMMYFUNCTION("""COMPUTED_VALUE"""),2.0)</f>
        <v>2</v>
      </c>
      <c r="G472" s="4">
        <f>IFERROR(__xludf.DUMMYFUNCTION("""COMPUTED_VALUE"""),13.0)</f>
        <v>13</v>
      </c>
      <c r="H472" s="4">
        <f>IFERROR(__xludf.DUMMYFUNCTION("""COMPUTED_VALUE"""),0.0)</f>
        <v>0</v>
      </c>
      <c r="I472" s="2" t="str">
        <f>IFERROR(__xludf.DUMMYFUNCTION("""COMPUTED_VALUE"""),"regex")</f>
        <v>regex</v>
      </c>
      <c r="J472" s="2">
        <f t="shared" si="2"/>
        <v>10</v>
      </c>
      <c r="K472" s="2">
        <f t="shared" si="3"/>
        <v>2000</v>
      </c>
      <c r="L472" s="2" t="str">
        <f t="shared" si="4"/>
        <v>P</v>
      </c>
    </row>
    <row r="473">
      <c r="A473" s="2" t="str">
        <f>IFERROR(__xludf.DUMMYFUNCTION("""COMPUTED_VALUE"""),"examples/regex/date/date1_sat")</f>
        <v>examples/regex/date/date1_sat</v>
      </c>
      <c r="B473" s="4">
        <f>IFERROR(__xludf.DUMMYFUNCTION("""COMPUTED_VALUE"""),1733.0)</f>
        <v>1733</v>
      </c>
      <c r="C473" s="4">
        <f>IFERROR(__xludf.DUMMYFUNCTION("""COMPUTED_VALUE"""),60.0)</f>
        <v>60</v>
      </c>
      <c r="D473" s="4">
        <f>IFERROR(__xludf.DUMMYFUNCTION("""COMPUTED_VALUE"""),41.0)</f>
        <v>41</v>
      </c>
      <c r="E473" s="4">
        <f>IFERROR(__xludf.DUMMYFUNCTION("""COMPUTED_VALUE"""),1.0)</f>
        <v>1</v>
      </c>
      <c r="F473" s="4">
        <f>IFERROR(__xludf.DUMMYFUNCTION("""COMPUTED_VALUE"""),1.0)</f>
        <v>1</v>
      </c>
      <c r="G473" s="4">
        <f>IFERROR(__xludf.DUMMYFUNCTION("""COMPUTED_VALUE"""),6.0)</f>
        <v>6</v>
      </c>
      <c r="H473" s="4">
        <f>IFERROR(__xludf.DUMMYFUNCTION("""COMPUTED_VALUE"""),0.0)</f>
        <v>0</v>
      </c>
      <c r="I473" s="2" t="str">
        <f>IFERROR(__xludf.DUMMYFUNCTION("""COMPUTED_VALUE"""),"regex")</f>
        <v>regex</v>
      </c>
      <c r="J473" s="2">
        <f t="shared" si="2"/>
        <v>10</v>
      </c>
      <c r="K473" s="2">
        <f t="shared" si="3"/>
        <v>2000</v>
      </c>
      <c r="L473" s="2" t="str">
        <f t="shared" si="4"/>
        <v>P</v>
      </c>
    </row>
    <row r="474">
      <c r="A474" s="2" t="str">
        <f>IFERROR(__xludf.DUMMYFUNCTION("""COMPUTED_VALUE"""),"examples/regex/date/contains_month_weekday_sat_9")</f>
        <v>examples/regex/date/contains_month_weekday_sat_9</v>
      </c>
      <c r="B474" s="4">
        <f>IFERROR(__xludf.DUMMYFUNCTION("""COMPUTED_VALUE"""),1306.0)</f>
        <v>1306</v>
      </c>
      <c r="C474" s="4">
        <f>IFERROR(__xludf.DUMMYFUNCTION("""COMPUTED_VALUE"""),60.0)</f>
        <v>60</v>
      </c>
      <c r="D474" s="4">
        <f>IFERROR(__xludf.DUMMYFUNCTION("""COMPUTED_VALUE"""),29.0)</f>
        <v>29</v>
      </c>
      <c r="E474" s="4">
        <f>IFERROR(__xludf.DUMMYFUNCTION("""COMPUTED_VALUE"""),1.0)</f>
        <v>1</v>
      </c>
      <c r="F474" s="4">
        <f>IFERROR(__xludf.DUMMYFUNCTION("""COMPUTED_VALUE"""),1.0)</f>
        <v>1</v>
      </c>
      <c r="G474" s="4">
        <f>IFERROR(__xludf.DUMMYFUNCTION("""COMPUTED_VALUE"""),8.0)</f>
        <v>8</v>
      </c>
      <c r="H474" s="4">
        <f>IFERROR(__xludf.DUMMYFUNCTION("""COMPUTED_VALUE"""),0.0)</f>
        <v>0</v>
      </c>
      <c r="I474" s="2" t="str">
        <f>IFERROR(__xludf.DUMMYFUNCTION("""COMPUTED_VALUE"""),"regex")</f>
        <v>regex</v>
      </c>
      <c r="J474" s="2">
        <f t="shared" si="2"/>
        <v>9</v>
      </c>
      <c r="K474" s="2">
        <f t="shared" si="3"/>
        <v>1000</v>
      </c>
      <c r="L474" s="2" t="str">
        <f t="shared" si="4"/>
        <v>P</v>
      </c>
    </row>
    <row r="475">
      <c r="A475" s="2" t="str">
        <f>IFERROR(__xludf.DUMMYFUNCTION("""COMPUTED_VALUE"""),"examples/regex/date/date2_sat")</f>
        <v>examples/regex/date/date2_sat</v>
      </c>
      <c r="B475" s="4">
        <f>IFERROR(__xludf.DUMMYFUNCTION("""COMPUTED_VALUE"""),1765.0)</f>
        <v>1765</v>
      </c>
      <c r="C475" s="4">
        <f>IFERROR(__xludf.DUMMYFUNCTION("""COMPUTED_VALUE"""),60.0)</f>
        <v>60</v>
      </c>
      <c r="D475" s="4">
        <f>IFERROR(__xludf.DUMMYFUNCTION("""COMPUTED_VALUE"""),43.0)</f>
        <v>43</v>
      </c>
      <c r="E475" s="4">
        <f>IFERROR(__xludf.DUMMYFUNCTION("""COMPUTED_VALUE"""),1.0)</f>
        <v>1</v>
      </c>
      <c r="F475" s="4">
        <f>IFERROR(__xludf.DUMMYFUNCTION("""COMPUTED_VALUE"""),2.0)</f>
        <v>2</v>
      </c>
      <c r="G475" s="4">
        <f>IFERROR(__xludf.DUMMYFUNCTION("""COMPUTED_VALUE"""),6.0)</f>
        <v>6</v>
      </c>
      <c r="H475" s="4">
        <f>IFERROR(__xludf.DUMMYFUNCTION("""COMPUTED_VALUE"""),0.0)</f>
        <v>0</v>
      </c>
      <c r="I475" s="2" t="str">
        <f>IFERROR(__xludf.DUMMYFUNCTION("""COMPUTED_VALUE"""),"regex")</f>
        <v>regex</v>
      </c>
      <c r="J475" s="2">
        <f t="shared" si="2"/>
        <v>10</v>
      </c>
      <c r="K475" s="2">
        <f t="shared" si="3"/>
        <v>2000</v>
      </c>
      <c r="L475" s="2" t="str">
        <f t="shared" si="4"/>
        <v>P</v>
      </c>
    </row>
    <row r="476">
      <c r="A476" s="2" t="str">
        <f>IFERROR(__xludf.DUMMYFUNCTION("""COMPUTED_VALUE"""),"examples/regex/state_graph_easy/inter_star_30_30")</f>
        <v>examples/regex/state_graph_easy/inter_star_30_30</v>
      </c>
      <c r="B476" s="4">
        <f>IFERROR(__xludf.DUMMYFUNCTION("""COMPUTED_VALUE"""),4591.0)</f>
        <v>4591</v>
      </c>
      <c r="C476" s="4">
        <f>IFERROR(__xludf.DUMMYFUNCTION("""COMPUTED_VALUE"""),60.0)</f>
        <v>60</v>
      </c>
      <c r="D476" s="4">
        <f>IFERROR(__xludf.DUMMYFUNCTION("""COMPUTED_VALUE"""),17.0)</f>
        <v>17</v>
      </c>
      <c r="E476" s="4">
        <f>IFERROR(__xludf.DUMMYFUNCTION("""COMPUTED_VALUE"""),1.0)</f>
        <v>1</v>
      </c>
      <c r="F476" s="4">
        <f>IFERROR(__xludf.DUMMYFUNCTION("""COMPUTED_VALUE"""),1.0)</f>
        <v>1</v>
      </c>
      <c r="G476" s="4">
        <f>IFERROR(__xludf.DUMMYFUNCTION("""COMPUTED_VALUE"""),1.0)</f>
        <v>1</v>
      </c>
      <c r="H476" s="4">
        <f>IFERROR(__xludf.DUMMYFUNCTION("""COMPUTED_VALUE"""),1.0)</f>
        <v>1</v>
      </c>
      <c r="I476" s="2" t="str">
        <f>IFERROR(__xludf.DUMMYFUNCTION("""COMPUTED_VALUE"""),"regex")</f>
        <v>regex</v>
      </c>
      <c r="J476" s="2">
        <f t="shared" si="2"/>
        <v>11</v>
      </c>
      <c r="K476" s="2">
        <f t="shared" si="3"/>
        <v>5000</v>
      </c>
      <c r="L476" s="2" t="str">
        <f t="shared" si="4"/>
        <v>BJP</v>
      </c>
    </row>
    <row r="477">
      <c r="A477" s="2" t="str">
        <f>IFERROR(__xludf.DUMMYFUNCTION("""COMPUTED_VALUE"""),"examples/regex/state_graph_easy/diamond_chain_100")</f>
        <v>examples/regex/state_graph_easy/diamond_chain_100</v>
      </c>
      <c r="B477" s="4">
        <f>IFERROR(__xludf.DUMMYFUNCTION("""COMPUTED_VALUE"""),1105.0)</f>
        <v>1105</v>
      </c>
      <c r="C477" s="4">
        <f>IFERROR(__xludf.DUMMYFUNCTION("""COMPUTED_VALUE"""),60.0)</f>
        <v>60</v>
      </c>
      <c r="D477" s="4">
        <f>IFERROR(__xludf.DUMMYFUNCTION("""COMPUTED_VALUE"""),210.0)</f>
        <v>210</v>
      </c>
      <c r="E477" s="4">
        <f>IFERROR(__xludf.DUMMYFUNCTION("""COMPUTED_VALUE"""),0.0)</f>
        <v>0</v>
      </c>
      <c r="F477" s="4">
        <f>IFERROR(__xludf.DUMMYFUNCTION("""COMPUTED_VALUE"""),1.0)</f>
        <v>1</v>
      </c>
      <c r="G477" s="4">
        <f>IFERROR(__xludf.DUMMYFUNCTION("""COMPUTED_VALUE"""),5.0)</f>
        <v>5</v>
      </c>
      <c r="H477" s="4">
        <f>IFERROR(__xludf.DUMMYFUNCTION("""COMPUTED_VALUE"""),0.0)</f>
        <v>0</v>
      </c>
      <c r="I477" s="2" t="str">
        <f>IFERROR(__xludf.DUMMYFUNCTION("""COMPUTED_VALUE"""),"regex")</f>
        <v>regex</v>
      </c>
      <c r="J477" s="2">
        <f t="shared" si="2"/>
        <v>9</v>
      </c>
      <c r="K477" s="2">
        <f t="shared" si="3"/>
        <v>1000</v>
      </c>
      <c r="L477" s="2" t="str">
        <f t="shared" si="4"/>
        <v>P</v>
      </c>
    </row>
    <row r="478">
      <c r="A478" s="2" t="str">
        <f>IFERROR(__xludf.DUMMYFUNCTION("""COMPUTED_VALUE"""),"examples/regex/state_graph_hard/diamond_chain_1000")</f>
        <v>examples/regex/state_graph_hard/diamond_chain_1000</v>
      </c>
      <c r="B478" s="4">
        <f>IFERROR(__xludf.DUMMYFUNCTION("""COMPUTED_VALUE"""),11005.0)</f>
        <v>11005</v>
      </c>
      <c r="C478" s="4">
        <f>IFERROR(__xludf.DUMMYFUNCTION("""COMPUTED_VALUE"""),60.0)</f>
        <v>60</v>
      </c>
      <c r="D478" s="4">
        <f>IFERROR(__xludf.DUMMYFUNCTION("""COMPUTED_VALUE"""),60000.0)</f>
        <v>60000</v>
      </c>
      <c r="E478" s="4">
        <f>IFERROR(__xludf.DUMMYFUNCTION("""COMPUTED_VALUE"""),6.0)</f>
        <v>6</v>
      </c>
      <c r="F478" s="4">
        <f>IFERROR(__xludf.DUMMYFUNCTION("""COMPUTED_VALUE"""),27.0)</f>
        <v>27</v>
      </c>
      <c r="G478" s="4">
        <f>IFERROR(__xludf.DUMMYFUNCTION("""COMPUTED_VALUE"""),77.0)</f>
        <v>77</v>
      </c>
      <c r="H478" s="4">
        <f>IFERROR(__xludf.DUMMYFUNCTION("""COMPUTED_VALUE"""),5.0)</f>
        <v>5</v>
      </c>
      <c r="I478" s="2" t="str">
        <f>IFERROR(__xludf.DUMMYFUNCTION("""COMPUTED_VALUE"""),"regex")</f>
        <v>regex</v>
      </c>
      <c r="J478" s="2">
        <f t="shared" si="2"/>
        <v>12</v>
      </c>
      <c r="K478" s="2">
        <f t="shared" si="3"/>
        <v>10000</v>
      </c>
      <c r="L478" s="2" t="str">
        <f t="shared" si="4"/>
        <v>P</v>
      </c>
    </row>
    <row r="479">
      <c r="A479" s="2" t="str">
        <f>IFERROR(__xludf.DUMMYFUNCTION("""COMPUTED_VALUE"""),"examples/regex/state_graph_hard/long_100")</f>
        <v>examples/regex/state_graph_hard/long_100</v>
      </c>
      <c r="B479" s="4">
        <f>IFERROR(__xludf.DUMMYFUNCTION("""COMPUTED_VALUE"""),5202.0)</f>
        <v>5202</v>
      </c>
      <c r="C479" s="4">
        <f>IFERROR(__xludf.DUMMYFUNCTION("""COMPUTED_VALUE"""),60.0)</f>
        <v>60</v>
      </c>
      <c r="D479" s="4">
        <f>IFERROR(__xludf.DUMMYFUNCTION("""COMPUTED_VALUE"""),915.0)</f>
        <v>915</v>
      </c>
      <c r="E479" s="4">
        <f>IFERROR(__xludf.DUMMYFUNCTION("""COMPUTED_VALUE"""),3.0)</f>
        <v>3</v>
      </c>
      <c r="F479" s="4">
        <f>IFERROR(__xludf.DUMMYFUNCTION("""COMPUTED_VALUE"""),14.0)</f>
        <v>14</v>
      </c>
      <c r="G479" s="4">
        <f>IFERROR(__xludf.DUMMYFUNCTION("""COMPUTED_VALUE"""),62.0)</f>
        <v>62</v>
      </c>
      <c r="H479" s="4">
        <f>IFERROR(__xludf.DUMMYFUNCTION("""COMPUTED_VALUE"""),2.0)</f>
        <v>2</v>
      </c>
      <c r="I479" s="2" t="str">
        <f>IFERROR(__xludf.DUMMYFUNCTION("""COMPUTED_VALUE"""),"regex")</f>
        <v>regex</v>
      </c>
      <c r="J479" s="2">
        <f t="shared" si="2"/>
        <v>11</v>
      </c>
      <c r="K479" s="2">
        <f t="shared" si="3"/>
        <v>5000</v>
      </c>
      <c r="L479" s="2" t="str">
        <f t="shared" si="4"/>
        <v>P</v>
      </c>
    </row>
    <row r="480">
      <c r="A480" s="2" t="str">
        <f>IFERROR(__xludf.DUMMYFUNCTION("""COMPUTED_VALUE"""),"examples/regex/state_graph_hard/diamond_chain_3000")</f>
        <v>examples/regex/state_graph_hard/diamond_chain_3000</v>
      </c>
      <c r="B480" s="4">
        <f>IFERROR(__xludf.DUMMYFUNCTION("""COMPUTED_VALUE"""),33005.0)</f>
        <v>33005</v>
      </c>
      <c r="C480" s="4">
        <f>IFERROR(__xludf.DUMMYFUNCTION("""COMPUTED_VALUE"""),60.0)</f>
        <v>60</v>
      </c>
      <c r="D480" s="4">
        <f>IFERROR(__xludf.DUMMYFUNCTION("""COMPUTED_VALUE"""),60000.0)</f>
        <v>60000</v>
      </c>
      <c r="E480" s="4">
        <f>IFERROR(__xludf.DUMMYFUNCTION("""COMPUTED_VALUE"""),21.0)</f>
        <v>21</v>
      </c>
      <c r="F480" s="4">
        <f>IFERROR(__xludf.DUMMYFUNCTION("""COMPUTED_VALUE"""),125.0)</f>
        <v>125</v>
      </c>
      <c r="G480" s="4">
        <f>IFERROR(__xludf.DUMMYFUNCTION("""COMPUTED_VALUE"""),280.0)</f>
        <v>280</v>
      </c>
      <c r="H480" s="4">
        <f>IFERROR(__xludf.DUMMYFUNCTION("""COMPUTED_VALUE"""),17.0)</f>
        <v>17</v>
      </c>
      <c r="I480" s="2" t="str">
        <f>IFERROR(__xludf.DUMMYFUNCTION("""COMPUTED_VALUE"""),"regex")</f>
        <v>regex</v>
      </c>
      <c r="J480" s="2">
        <f t="shared" si="2"/>
        <v>14</v>
      </c>
      <c r="K480" s="2">
        <f t="shared" si="3"/>
        <v>50000</v>
      </c>
      <c r="L480" s="2" t="str">
        <f t="shared" si="4"/>
        <v>P</v>
      </c>
    </row>
    <row r="481">
      <c r="A481" s="2" t="str">
        <f>IFERROR(__xludf.DUMMYFUNCTION("""COMPUTED_VALUE"""),"examples/regex/state_graph_hard/inter_30_60_90")</f>
        <v>examples/regex/state_graph_hard/inter_30_60_90</v>
      </c>
      <c r="B481" s="4">
        <f>IFERROR(__xludf.DUMMYFUNCTION("""COMPUTED_VALUE"""),629043.0)</f>
        <v>629043</v>
      </c>
      <c r="C481" s="4">
        <f>IFERROR(__xludf.DUMMYFUNCTION("""COMPUTED_VALUE"""),60.0)</f>
        <v>60</v>
      </c>
      <c r="D481" s="4">
        <f>IFERROR(__xludf.DUMMYFUNCTION("""COMPUTED_VALUE"""),376.0)</f>
        <v>376</v>
      </c>
      <c r="E481" s="4">
        <f>IFERROR(__xludf.DUMMYFUNCTION("""COMPUTED_VALUE"""),94.0)</f>
        <v>94</v>
      </c>
      <c r="F481" s="4">
        <f>IFERROR(__xludf.DUMMYFUNCTION("""COMPUTED_VALUE"""),97.0)</f>
        <v>97</v>
      </c>
      <c r="G481" s="4">
        <f>IFERROR(__xludf.DUMMYFUNCTION("""COMPUTED_VALUE"""),108.0)</f>
        <v>108</v>
      </c>
      <c r="H481" s="4">
        <f>IFERROR(__xludf.DUMMYFUNCTION("""COMPUTED_VALUE"""),102.0)</f>
        <v>102</v>
      </c>
      <c r="I481" s="2" t="str">
        <f>IFERROR(__xludf.DUMMYFUNCTION("""COMPUTED_VALUE"""),"regex")</f>
        <v>regex</v>
      </c>
      <c r="J481" s="2">
        <f t="shared" si="2"/>
        <v>17</v>
      </c>
      <c r="K481" s="2">
        <f t="shared" si="3"/>
        <v>500000</v>
      </c>
      <c r="L481" s="2" t="str">
        <f t="shared" si="4"/>
        <v>B</v>
      </c>
    </row>
    <row r="482">
      <c r="A482" s="2" t="str">
        <f>IFERROR(__xludf.DUMMYFUNCTION("""COMPUTED_VALUE"""),"examples/regex/state_graph_hard/long_300")</f>
        <v>examples/regex/state_graph_hard/long_300</v>
      </c>
      <c r="B482" s="4">
        <f>IFERROR(__xludf.DUMMYFUNCTION("""COMPUTED_VALUE"""),15602.0)</f>
        <v>15602</v>
      </c>
      <c r="C482" s="4">
        <f>IFERROR(__xludf.DUMMYFUNCTION("""COMPUTED_VALUE"""),60.0)</f>
        <v>60</v>
      </c>
      <c r="D482" s="4">
        <f>IFERROR(__xludf.DUMMYFUNCTION("""COMPUTED_VALUE"""),8813.0)</f>
        <v>8813</v>
      </c>
      <c r="E482" s="4">
        <f>IFERROR(__xludf.DUMMYFUNCTION("""COMPUTED_VALUE"""),11.0)</f>
        <v>11</v>
      </c>
      <c r="F482" s="4">
        <f>IFERROR(__xludf.DUMMYFUNCTION("""COMPUTED_VALUE"""),68.0)</f>
        <v>68</v>
      </c>
      <c r="G482" s="4">
        <f>IFERROR(__xludf.DUMMYFUNCTION("""COMPUTED_VALUE"""),237.0)</f>
        <v>237</v>
      </c>
      <c r="H482" s="4">
        <f>IFERROR(__xludf.DUMMYFUNCTION("""COMPUTED_VALUE"""),9.0)</f>
        <v>9</v>
      </c>
      <c r="I482" s="2" t="str">
        <f>IFERROR(__xludf.DUMMYFUNCTION("""COMPUTED_VALUE"""),"regex")</f>
        <v>regex</v>
      </c>
      <c r="J482" s="2">
        <f t="shared" si="2"/>
        <v>13</v>
      </c>
      <c r="K482" s="2">
        <f t="shared" si="3"/>
        <v>20000</v>
      </c>
      <c r="L482" s="2" t="str">
        <f t="shared" si="4"/>
        <v>P</v>
      </c>
    </row>
    <row r="483">
      <c r="A483" s="2" t="str">
        <f>IFERROR(__xludf.DUMMYFUNCTION("""COMPUTED_VALUE"""),"examples/regex/state_graph_hard/inter_10_20_30")</f>
        <v>examples/regex/state_graph_hard/inter_10_20_30</v>
      </c>
      <c r="B483" s="4">
        <f>IFERROR(__xludf.DUMMYFUNCTION("""COMPUTED_VALUE"""),21993.0)</f>
        <v>21993</v>
      </c>
      <c r="C483" s="4">
        <f>IFERROR(__xludf.DUMMYFUNCTION("""COMPUTED_VALUE"""),60.0)</f>
        <v>60</v>
      </c>
      <c r="D483" s="4">
        <f>IFERROR(__xludf.DUMMYFUNCTION("""COMPUTED_VALUE"""),10.0)</f>
        <v>10</v>
      </c>
      <c r="E483" s="4">
        <f>IFERROR(__xludf.DUMMYFUNCTION("""COMPUTED_VALUE"""),3.0)</f>
        <v>3</v>
      </c>
      <c r="F483" s="4">
        <f>IFERROR(__xludf.DUMMYFUNCTION("""COMPUTED_VALUE"""),3.0)</f>
        <v>3</v>
      </c>
      <c r="G483" s="4">
        <f>IFERROR(__xludf.DUMMYFUNCTION("""COMPUTED_VALUE"""),4.0)</f>
        <v>4</v>
      </c>
      <c r="H483" s="4">
        <f>IFERROR(__xludf.DUMMYFUNCTION("""COMPUTED_VALUE"""),3.0)</f>
        <v>3</v>
      </c>
      <c r="I483" s="2" t="str">
        <f>IFERROR(__xludf.DUMMYFUNCTION("""COMPUTED_VALUE"""),"regex")</f>
        <v>regex</v>
      </c>
      <c r="J483" s="2">
        <f t="shared" si="2"/>
        <v>13</v>
      </c>
      <c r="K483" s="2">
        <f t="shared" si="3"/>
        <v>20000</v>
      </c>
      <c r="L483" s="2" t="str">
        <f t="shared" si="4"/>
        <v>BP</v>
      </c>
    </row>
    <row r="484">
      <c r="A484" s="2" t="str">
        <f>IFERROR(__xludf.DUMMYFUNCTION("""COMPUTED_VALUE"""),"examples/regex/state_graph_hard/long_30")</f>
        <v>examples/regex/state_graph_hard/long_30</v>
      </c>
      <c r="B484" s="4">
        <f>IFERROR(__xludf.DUMMYFUNCTION("""COMPUTED_VALUE"""),1562.0)</f>
        <v>1562</v>
      </c>
      <c r="C484" s="4">
        <f>IFERROR(__xludf.DUMMYFUNCTION("""COMPUTED_VALUE"""),60.0)</f>
        <v>60</v>
      </c>
      <c r="D484" s="4">
        <f>IFERROR(__xludf.DUMMYFUNCTION("""COMPUTED_VALUE"""),80.0)</f>
        <v>80</v>
      </c>
      <c r="E484" s="4">
        <f>IFERROR(__xludf.DUMMYFUNCTION("""COMPUTED_VALUE"""),1.0)</f>
        <v>1</v>
      </c>
      <c r="F484" s="4">
        <f>IFERROR(__xludf.DUMMYFUNCTION("""COMPUTED_VALUE"""),2.0)</f>
        <v>2</v>
      </c>
      <c r="G484" s="4">
        <f>IFERROR(__xludf.DUMMYFUNCTION("""COMPUTED_VALUE"""),15.0)</f>
        <v>15</v>
      </c>
      <c r="H484" s="4">
        <f>IFERROR(__xludf.DUMMYFUNCTION("""COMPUTED_VALUE"""),0.0)</f>
        <v>0</v>
      </c>
      <c r="I484" s="2" t="str">
        <f>IFERROR(__xludf.DUMMYFUNCTION("""COMPUTED_VALUE"""),"regex")</f>
        <v>regex</v>
      </c>
      <c r="J484" s="2">
        <f t="shared" si="2"/>
        <v>10</v>
      </c>
      <c r="K484" s="2">
        <f t="shared" si="3"/>
        <v>2000</v>
      </c>
      <c r="L484" s="2" t="str">
        <f t="shared" si="4"/>
        <v>P</v>
      </c>
    </row>
    <row r="485">
      <c r="A485" s="2" t="str">
        <f>IFERROR(__xludf.DUMMYFUNCTION("""COMPUTED_VALUE"""),"examples/regex/state_graph_hard/inter_star_100_100")</f>
        <v>examples/regex/state_graph_hard/inter_star_100_100</v>
      </c>
      <c r="B485" s="4">
        <f>IFERROR(__xludf.DUMMYFUNCTION("""COMPUTED_VALUE"""),50301.0)</f>
        <v>50301</v>
      </c>
      <c r="C485" s="4">
        <f>IFERROR(__xludf.DUMMYFUNCTION("""COMPUTED_VALUE"""),60.0)</f>
        <v>60</v>
      </c>
      <c r="D485" s="4">
        <f>IFERROR(__xludf.DUMMYFUNCTION("""COMPUTED_VALUE"""),386.0)</f>
        <v>386</v>
      </c>
      <c r="E485" s="4">
        <f>IFERROR(__xludf.DUMMYFUNCTION("""COMPUTED_VALUE"""),11.0)</f>
        <v>11</v>
      </c>
      <c r="F485" s="4">
        <f>IFERROR(__xludf.DUMMYFUNCTION("""COMPUTED_VALUE"""),13.0)</f>
        <v>13</v>
      </c>
      <c r="G485" s="4">
        <f>IFERROR(__xludf.DUMMYFUNCTION("""COMPUTED_VALUE"""),16.0)</f>
        <v>16</v>
      </c>
      <c r="H485" s="4">
        <f>IFERROR(__xludf.DUMMYFUNCTION("""COMPUTED_VALUE"""),12.0)</f>
        <v>12</v>
      </c>
      <c r="I485" s="2" t="str">
        <f>IFERROR(__xludf.DUMMYFUNCTION("""COMPUTED_VALUE"""),"regex")</f>
        <v>regex</v>
      </c>
      <c r="J485" s="2">
        <f t="shared" si="2"/>
        <v>14</v>
      </c>
      <c r="K485" s="2">
        <f t="shared" si="3"/>
        <v>50000</v>
      </c>
      <c r="L485" s="2" t="str">
        <f t="shared" si="4"/>
        <v>P</v>
      </c>
    </row>
    <row r="486">
      <c r="A486" s="2" t="str">
        <f>IFERROR(__xludf.DUMMYFUNCTION("""COMPUTED_VALUE"""),"examples/regex/state_graph_hard/diamond_chain_300")</f>
        <v>examples/regex/state_graph_hard/diamond_chain_300</v>
      </c>
      <c r="B486" s="4">
        <f>IFERROR(__xludf.DUMMYFUNCTION("""COMPUTED_VALUE"""),3305.0)</f>
        <v>3305</v>
      </c>
      <c r="C486" s="4">
        <f>IFERROR(__xludf.DUMMYFUNCTION("""COMPUTED_VALUE"""),60.0)</f>
        <v>60</v>
      </c>
      <c r="D486" s="4">
        <f>IFERROR(__xludf.DUMMYFUNCTION("""COMPUTED_VALUE"""),5480.0)</f>
        <v>5480</v>
      </c>
      <c r="E486" s="4">
        <f>IFERROR(__xludf.DUMMYFUNCTION("""COMPUTED_VALUE"""),1.0)</f>
        <v>1</v>
      </c>
      <c r="F486" s="4">
        <f>IFERROR(__xludf.DUMMYFUNCTION("""COMPUTED_VALUE"""),5.0)</f>
        <v>5</v>
      </c>
      <c r="G486" s="4">
        <f>IFERROR(__xludf.DUMMYFUNCTION("""COMPUTED_VALUE"""),18.0)</f>
        <v>18</v>
      </c>
      <c r="H486" s="4">
        <f>IFERROR(__xludf.DUMMYFUNCTION("""COMPUTED_VALUE"""),1.0)</f>
        <v>1</v>
      </c>
      <c r="I486" s="2" t="str">
        <f>IFERROR(__xludf.DUMMYFUNCTION("""COMPUTED_VALUE"""),"regex")</f>
        <v>regex</v>
      </c>
      <c r="J486" s="2">
        <f t="shared" si="2"/>
        <v>11</v>
      </c>
      <c r="K486" s="2">
        <f t="shared" si="3"/>
        <v>5000</v>
      </c>
      <c r="L486" s="2" t="str">
        <f t="shared" si="4"/>
        <v>P</v>
      </c>
    </row>
    <row r="487">
      <c r="A487" s="2" t="str">
        <f>IFERROR(__xludf.DUMMYFUNCTION("""COMPUTED_VALUE"""),"examples/regex/counting/re_count_sat_hard")</f>
        <v>examples/regex/counting/re_count_sat_hard</v>
      </c>
      <c r="B487" s="4">
        <f>IFERROR(__xludf.DUMMYFUNCTION("""COMPUTED_VALUE"""),80002.0)</f>
        <v>80002</v>
      </c>
      <c r="C487" s="4">
        <f>IFERROR(__xludf.DUMMYFUNCTION("""COMPUTED_VALUE"""),60.0)</f>
        <v>60</v>
      </c>
      <c r="D487" s="4">
        <f>IFERROR(__xludf.DUMMYFUNCTION("""COMPUTED_VALUE"""),60000.0)</f>
        <v>60000</v>
      </c>
      <c r="E487" s="4">
        <f>IFERROR(__xludf.DUMMYFUNCTION("""COMPUTED_VALUE"""),56.0)</f>
        <v>56</v>
      </c>
      <c r="F487" s="4">
        <f>IFERROR(__xludf.DUMMYFUNCTION("""COMPUTED_VALUE"""),684.0)</f>
        <v>684</v>
      </c>
      <c r="G487" s="4">
        <f>IFERROR(__xludf.DUMMYFUNCTION("""COMPUTED_VALUE"""),1536.0)</f>
        <v>1536</v>
      </c>
      <c r="H487" s="4">
        <f>IFERROR(__xludf.DUMMYFUNCTION("""COMPUTED_VALUE"""),44.0)</f>
        <v>44</v>
      </c>
      <c r="I487" s="2" t="str">
        <f>IFERROR(__xludf.DUMMYFUNCTION("""COMPUTED_VALUE"""),"regex")</f>
        <v>regex</v>
      </c>
      <c r="J487" s="2">
        <f t="shared" si="2"/>
        <v>15</v>
      </c>
      <c r="K487" s="2">
        <f t="shared" si="3"/>
        <v>100000</v>
      </c>
      <c r="L487" s="2" t="str">
        <f t="shared" si="4"/>
        <v>P</v>
      </c>
    </row>
    <row r="488">
      <c r="A488" s="2" t="str">
        <f>IFERROR(__xludf.DUMMYFUNCTION("""COMPUTED_VALUE"""),"examples/regex/det_blowup/det_blowup_unsat_100")</f>
        <v>examples/regex/det_blowup/det_blowup_unsat_100</v>
      </c>
      <c r="B488" s="4">
        <f>IFERROR(__xludf.DUMMYFUNCTION("""COMPUTED_VALUE"""),10401.0)</f>
        <v>10401</v>
      </c>
      <c r="C488" s="4">
        <f>IFERROR(__xludf.DUMMYFUNCTION("""COMPUTED_VALUE"""),60.0)</f>
        <v>60</v>
      </c>
      <c r="D488" s="4">
        <f>IFERROR(__xludf.DUMMYFUNCTION("""COMPUTED_VALUE"""),1849.0)</f>
        <v>1849</v>
      </c>
      <c r="E488" s="4">
        <f>IFERROR(__xludf.DUMMYFUNCTION("""COMPUTED_VALUE"""),8.0)</f>
        <v>8</v>
      </c>
      <c r="F488" s="4">
        <f>IFERROR(__xludf.DUMMYFUNCTION("""COMPUTED_VALUE"""),35.0)</f>
        <v>35</v>
      </c>
      <c r="G488" s="4">
        <f>IFERROR(__xludf.DUMMYFUNCTION("""COMPUTED_VALUE"""),145.0)</f>
        <v>145</v>
      </c>
      <c r="H488" s="4">
        <f>IFERROR(__xludf.DUMMYFUNCTION("""COMPUTED_VALUE"""),5.0)</f>
        <v>5</v>
      </c>
      <c r="I488" s="2" t="str">
        <f>IFERROR(__xludf.DUMMYFUNCTION("""COMPUTED_VALUE"""),"regex")</f>
        <v>regex</v>
      </c>
      <c r="J488" s="2">
        <f t="shared" si="2"/>
        <v>12</v>
      </c>
      <c r="K488" s="2">
        <f t="shared" si="3"/>
        <v>10000</v>
      </c>
      <c r="L488" s="2" t="str">
        <f t="shared" si="4"/>
        <v>P</v>
      </c>
    </row>
    <row r="489">
      <c r="A489" s="2" t="str">
        <f>IFERROR(__xludf.DUMMYFUNCTION("""COMPUTED_VALUE"""),"examples/regex/det_blowup/det_blowup_sat_1000")</f>
        <v>examples/regex/det_blowup/det_blowup_sat_1000</v>
      </c>
      <c r="B489" s="4">
        <f>IFERROR(__xludf.DUMMYFUNCTION("""COMPUTED_VALUE"""),2007.0)</f>
        <v>2007</v>
      </c>
      <c r="C489" s="4">
        <f>IFERROR(__xludf.DUMMYFUNCTION("""COMPUTED_VALUE"""),60.0)</f>
        <v>60</v>
      </c>
      <c r="D489" s="4">
        <f>IFERROR(__xludf.DUMMYFUNCTION("""COMPUTED_VALUE"""),130.0)</f>
        <v>130</v>
      </c>
      <c r="E489" s="4">
        <f>IFERROR(__xludf.DUMMYFUNCTION("""COMPUTED_VALUE"""),1.0)</f>
        <v>1</v>
      </c>
      <c r="F489" s="4">
        <f>IFERROR(__xludf.DUMMYFUNCTION("""COMPUTED_VALUE"""),4.0)</f>
        <v>4</v>
      </c>
      <c r="G489" s="4">
        <f>IFERROR(__xludf.DUMMYFUNCTION("""COMPUTED_VALUE"""),19.0)</f>
        <v>19</v>
      </c>
      <c r="H489" s="4">
        <f>IFERROR(__xludf.DUMMYFUNCTION("""COMPUTED_VALUE"""),1.0)</f>
        <v>1</v>
      </c>
      <c r="I489" s="2" t="str">
        <f>IFERROR(__xludf.DUMMYFUNCTION("""COMPUTED_VALUE"""),"regex")</f>
        <v>regex</v>
      </c>
      <c r="J489" s="2">
        <f t="shared" si="2"/>
        <v>10</v>
      </c>
      <c r="K489" s="2">
        <f t="shared" si="3"/>
        <v>2000</v>
      </c>
      <c r="L489" s="2" t="str">
        <f t="shared" si="4"/>
        <v>P</v>
      </c>
    </row>
    <row r="490">
      <c r="A490" s="2" t="str">
        <f>IFERROR(__xludf.DUMMYFUNCTION("""COMPUTED_VALUE"""),"examples/regex/password/passw_complex_5_10_sat")</f>
        <v>examples/regex/password/passw_complex_5_10_sat</v>
      </c>
      <c r="B490" s="4">
        <f>IFERROR(__xludf.DUMMYFUNCTION("""COMPUTED_VALUE"""),46391.0)</f>
        <v>46391</v>
      </c>
      <c r="C490" s="4">
        <f>IFERROR(__xludf.DUMMYFUNCTION("""COMPUTED_VALUE"""),60.0)</f>
        <v>60</v>
      </c>
      <c r="D490" s="4">
        <f>IFERROR(__xludf.DUMMYFUNCTION("""COMPUTED_VALUE"""),269.0)</f>
        <v>269</v>
      </c>
      <c r="E490" s="4">
        <f>IFERROR(__xludf.DUMMYFUNCTION("""COMPUTED_VALUE"""),10.0)</f>
        <v>10</v>
      </c>
      <c r="F490" s="4">
        <f>IFERROR(__xludf.DUMMYFUNCTION("""COMPUTED_VALUE"""),10.0)</f>
        <v>10</v>
      </c>
      <c r="G490" s="4">
        <f>IFERROR(__xludf.DUMMYFUNCTION("""COMPUTED_VALUE"""),9.0)</f>
        <v>9</v>
      </c>
      <c r="H490" s="4">
        <f>IFERROR(__xludf.DUMMYFUNCTION("""COMPUTED_VALUE"""),8.0)</f>
        <v>8</v>
      </c>
      <c r="I490" s="2" t="str">
        <f>IFERROR(__xludf.DUMMYFUNCTION("""COMPUTED_VALUE"""),"regex")</f>
        <v>regex</v>
      </c>
      <c r="J490" s="2">
        <f t="shared" si="2"/>
        <v>14</v>
      </c>
      <c r="K490" s="2">
        <f t="shared" si="3"/>
        <v>50000</v>
      </c>
      <c r="L490" s="2" t="str">
        <f t="shared" si="4"/>
        <v>P</v>
      </c>
    </row>
    <row r="491">
      <c r="A491" s="2" t="str">
        <f>IFERROR(__xludf.DUMMYFUNCTION("""COMPUTED_VALUE"""),"examples/regex/password/passw_complex_4_10_sat")</f>
        <v>examples/regex/password/passw_complex_4_10_sat</v>
      </c>
      <c r="B491" s="4">
        <f>IFERROR(__xludf.DUMMYFUNCTION("""COMPUTED_VALUE"""),46406.0)</f>
        <v>46406</v>
      </c>
      <c r="C491" s="4">
        <f>IFERROR(__xludf.DUMMYFUNCTION("""COMPUTED_VALUE"""),60.0)</f>
        <v>60</v>
      </c>
      <c r="D491" s="4">
        <f>IFERROR(__xludf.DUMMYFUNCTION("""COMPUTED_VALUE"""),272.0)</f>
        <v>272</v>
      </c>
      <c r="E491" s="4">
        <f>IFERROR(__xludf.DUMMYFUNCTION("""COMPUTED_VALUE"""),10.0)</f>
        <v>10</v>
      </c>
      <c r="F491" s="4">
        <f>IFERROR(__xludf.DUMMYFUNCTION("""COMPUTED_VALUE"""),10.0)</f>
        <v>10</v>
      </c>
      <c r="G491" s="4">
        <f>IFERROR(__xludf.DUMMYFUNCTION("""COMPUTED_VALUE"""),8.0)</f>
        <v>8</v>
      </c>
      <c r="H491" s="4">
        <f>IFERROR(__xludf.DUMMYFUNCTION("""COMPUTED_VALUE"""),8.0)</f>
        <v>8</v>
      </c>
      <c r="I491" s="2" t="str">
        <f>IFERROR(__xludf.DUMMYFUNCTION("""COMPUTED_VALUE"""),"regex")</f>
        <v>regex</v>
      </c>
      <c r="J491" s="2">
        <f t="shared" si="2"/>
        <v>14</v>
      </c>
      <c r="K491" s="2">
        <f t="shared" si="3"/>
        <v>50000</v>
      </c>
      <c r="L491" s="2" t="str">
        <f t="shared" si="4"/>
        <v>JP</v>
      </c>
    </row>
    <row r="492">
      <c r="A492" s="2" t="str">
        <f>IFERROR(__xludf.DUMMYFUNCTION("""COMPUTED_VALUE"""),"examples/regex/password/passw_very_complex_1_7_unsat")</f>
        <v>examples/regex/password/passw_very_complex_1_7_unsat</v>
      </c>
      <c r="B492" s="4">
        <f>IFERROR(__xludf.DUMMYFUNCTION("""COMPUTED_VALUE"""),77535.0)</f>
        <v>77535</v>
      </c>
      <c r="C492" s="4">
        <f>IFERROR(__xludf.DUMMYFUNCTION("""COMPUTED_VALUE"""),60.0)</f>
        <v>60</v>
      </c>
      <c r="D492" s="4">
        <f>IFERROR(__xludf.DUMMYFUNCTION("""COMPUTED_VALUE"""),1769.0)</f>
        <v>1769</v>
      </c>
      <c r="E492" s="4">
        <f>IFERROR(__xludf.DUMMYFUNCTION("""COMPUTED_VALUE"""),411.0)</f>
        <v>411</v>
      </c>
      <c r="F492" s="4">
        <f>IFERROR(__xludf.DUMMYFUNCTION("""COMPUTED_VALUE"""),118.0)</f>
        <v>118</v>
      </c>
      <c r="G492" s="4">
        <f>IFERROR(__xludf.DUMMYFUNCTION("""COMPUTED_VALUE"""),159.0)</f>
        <v>159</v>
      </c>
      <c r="H492" s="4">
        <f>IFERROR(__xludf.DUMMYFUNCTION("""COMPUTED_VALUE"""),26.0)</f>
        <v>26</v>
      </c>
      <c r="I492" s="2" t="str">
        <f>IFERROR(__xludf.DUMMYFUNCTION("""COMPUTED_VALUE"""),"regex")</f>
        <v>regex</v>
      </c>
      <c r="J492" s="2">
        <f t="shared" si="2"/>
        <v>15</v>
      </c>
      <c r="K492" s="2">
        <f t="shared" si="3"/>
        <v>100000</v>
      </c>
      <c r="L492" s="2" t="str">
        <f t="shared" si="4"/>
        <v>P</v>
      </c>
    </row>
    <row r="493">
      <c r="A493" s="2" t="str">
        <f>IFERROR(__xludf.DUMMYFUNCTION("""COMPUTED_VALUE"""),"examples/regex/password/passw_complex_9_10_sat")</f>
        <v>examples/regex/password/passw_complex_9_10_sat</v>
      </c>
      <c r="B493" s="4">
        <f>IFERROR(__xludf.DUMMYFUNCTION("""COMPUTED_VALUE"""),46287.0)</f>
        <v>46287</v>
      </c>
      <c r="C493" s="4">
        <f>IFERROR(__xludf.DUMMYFUNCTION("""COMPUTED_VALUE"""),60.0)</f>
        <v>60</v>
      </c>
      <c r="D493" s="4">
        <f>IFERROR(__xludf.DUMMYFUNCTION("""COMPUTED_VALUE"""),272.0)</f>
        <v>272</v>
      </c>
      <c r="E493" s="4">
        <f>IFERROR(__xludf.DUMMYFUNCTION("""COMPUTED_VALUE"""),11.0)</f>
        <v>11</v>
      </c>
      <c r="F493" s="4">
        <f>IFERROR(__xludf.DUMMYFUNCTION("""COMPUTED_VALUE"""),10.0)</f>
        <v>10</v>
      </c>
      <c r="G493" s="4">
        <f>IFERROR(__xludf.DUMMYFUNCTION("""COMPUTED_VALUE"""),9.0)</f>
        <v>9</v>
      </c>
      <c r="H493" s="4">
        <f>IFERROR(__xludf.DUMMYFUNCTION("""COMPUTED_VALUE"""),8.0)</f>
        <v>8</v>
      </c>
      <c r="I493" s="2" t="str">
        <f>IFERROR(__xludf.DUMMYFUNCTION("""COMPUTED_VALUE"""),"regex")</f>
        <v>regex</v>
      </c>
      <c r="J493" s="2">
        <f t="shared" si="2"/>
        <v>14</v>
      </c>
      <c r="K493" s="2">
        <f t="shared" si="3"/>
        <v>50000</v>
      </c>
      <c r="L493" s="2" t="str">
        <f t="shared" si="4"/>
        <v>P</v>
      </c>
    </row>
    <row r="494">
      <c r="A494" s="2" t="str">
        <f>IFERROR(__xludf.DUMMYFUNCTION("""COMPUTED_VALUE"""),"examples/regex/password/passw_very_complex_8_12_sat")</f>
        <v>examples/regex/password/passw_very_complex_8_12_sat</v>
      </c>
      <c r="B494" s="4">
        <f>IFERROR(__xludf.DUMMYFUNCTION("""COMPUTED_VALUE"""),289104.0)</f>
        <v>289104</v>
      </c>
      <c r="C494" s="4">
        <f>IFERROR(__xludf.DUMMYFUNCTION("""COMPUTED_VALUE"""),60.0)</f>
        <v>60</v>
      </c>
      <c r="D494" s="4">
        <f>IFERROR(__xludf.DUMMYFUNCTION("""COMPUTED_VALUE"""),15554.0)</f>
        <v>15554</v>
      </c>
      <c r="E494" s="4">
        <f>IFERROR(__xludf.DUMMYFUNCTION("""COMPUTED_VALUE"""),982.0)</f>
        <v>982</v>
      </c>
      <c r="F494" s="4">
        <f>IFERROR(__xludf.DUMMYFUNCTION("""COMPUTED_VALUE"""),131.0)</f>
        <v>131</v>
      </c>
      <c r="G494" s="4">
        <f>IFERROR(__xludf.DUMMYFUNCTION("""COMPUTED_VALUE"""),97.0)</f>
        <v>97</v>
      </c>
      <c r="H494" s="4">
        <f>IFERROR(__xludf.DUMMYFUNCTION("""COMPUTED_VALUE"""),66.0)</f>
        <v>66</v>
      </c>
      <c r="I494" s="2" t="str">
        <f>IFERROR(__xludf.DUMMYFUNCTION("""COMPUTED_VALUE"""),"regex")</f>
        <v>regex</v>
      </c>
      <c r="J494" s="2">
        <f t="shared" si="2"/>
        <v>16</v>
      </c>
      <c r="K494" s="2">
        <f t="shared" si="3"/>
        <v>200000</v>
      </c>
      <c r="L494" s="2" t="str">
        <f t="shared" si="4"/>
        <v>P</v>
      </c>
    </row>
    <row r="495">
      <c r="A495" s="2" t="str">
        <f>IFERROR(__xludf.DUMMYFUNCTION("""COMPUTED_VALUE"""),"examples/regex/password/passw_complex_6_10_sat")</f>
        <v>examples/regex/password/passw_complex_6_10_sat</v>
      </c>
      <c r="B495" s="4">
        <f>IFERROR(__xludf.DUMMYFUNCTION("""COMPUTED_VALUE"""),45154.0)</f>
        <v>45154</v>
      </c>
      <c r="C495" s="4">
        <f>IFERROR(__xludf.DUMMYFUNCTION("""COMPUTED_VALUE"""),60.0)</f>
        <v>60</v>
      </c>
      <c r="D495" s="4">
        <f>IFERROR(__xludf.DUMMYFUNCTION("""COMPUTED_VALUE"""),255.0)</f>
        <v>255</v>
      </c>
      <c r="E495" s="4">
        <f>IFERROR(__xludf.DUMMYFUNCTION("""COMPUTED_VALUE"""),9.0)</f>
        <v>9</v>
      </c>
      <c r="F495" s="4">
        <f>IFERROR(__xludf.DUMMYFUNCTION("""COMPUTED_VALUE"""),9.0)</f>
        <v>9</v>
      </c>
      <c r="G495" s="4">
        <f>IFERROR(__xludf.DUMMYFUNCTION("""COMPUTED_VALUE"""),8.0)</f>
        <v>8</v>
      </c>
      <c r="H495" s="4">
        <f>IFERROR(__xludf.DUMMYFUNCTION("""COMPUTED_VALUE"""),7.0)</f>
        <v>7</v>
      </c>
      <c r="I495" s="2" t="str">
        <f>IFERROR(__xludf.DUMMYFUNCTION("""COMPUTED_VALUE"""),"regex")</f>
        <v>regex</v>
      </c>
      <c r="J495" s="2">
        <f t="shared" si="2"/>
        <v>14</v>
      </c>
      <c r="K495" s="2">
        <f t="shared" si="3"/>
        <v>50000</v>
      </c>
      <c r="L495" s="2" t="str">
        <f t="shared" si="4"/>
        <v>P</v>
      </c>
    </row>
    <row r="496">
      <c r="A496" s="2" t="str">
        <f>IFERROR(__xludf.DUMMYFUNCTION("""COMPUTED_VALUE"""),"examples/regex/password/passw_complex_7_10_sat")</f>
        <v>examples/regex/password/passw_complex_7_10_sat</v>
      </c>
      <c r="B496" s="4">
        <f>IFERROR(__xludf.DUMMYFUNCTION("""COMPUTED_VALUE"""),46341.0)</f>
        <v>46341</v>
      </c>
      <c r="C496" s="4">
        <f>IFERROR(__xludf.DUMMYFUNCTION("""COMPUTED_VALUE"""),60.0)</f>
        <v>60</v>
      </c>
      <c r="D496" s="4">
        <f>IFERROR(__xludf.DUMMYFUNCTION("""COMPUTED_VALUE"""),270.0)</f>
        <v>270</v>
      </c>
      <c r="E496" s="4">
        <f>IFERROR(__xludf.DUMMYFUNCTION("""COMPUTED_VALUE"""),11.0)</f>
        <v>11</v>
      </c>
      <c r="F496" s="4">
        <f>IFERROR(__xludf.DUMMYFUNCTION("""COMPUTED_VALUE"""),10.0)</f>
        <v>10</v>
      </c>
      <c r="G496" s="4">
        <f>IFERROR(__xludf.DUMMYFUNCTION("""COMPUTED_VALUE"""),9.0)</f>
        <v>9</v>
      </c>
      <c r="H496" s="4">
        <f>IFERROR(__xludf.DUMMYFUNCTION("""COMPUTED_VALUE"""),8.0)</f>
        <v>8</v>
      </c>
      <c r="I496" s="2" t="str">
        <f>IFERROR(__xludf.DUMMYFUNCTION("""COMPUTED_VALUE"""),"regex")</f>
        <v>regex</v>
      </c>
      <c r="J496" s="2">
        <f t="shared" si="2"/>
        <v>14</v>
      </c>
      <c r="K496" s="2">
        <f t="shared" si="3"/>
        <v>50000</v>
      </c>
      <c r="L496" s="2" t="str">
        <f t="shared" si="4"/>
        <v>P</v>
      </c>
    </row>
    <row r="497">
      <c r="A497" s="2" t="str">
        <f>IFERROR(__xludf.DUMMYFUNCTION("""COMPUTED_VALUE"""),"examples/regex/password/passw_very_complex_9_12_sat")</f>
        <v>examples/regex/password/passw_very_complex_9_12_sat</v>
      </c>
      <c r="B497" s="4">
        <f>IFERROR(__xludf.DUMMYFUNCTION("""COMPUTED_VALUE"""),301407.0)</f>
        <v>301407</v>
      </c>
      <c r="C497" s="4">
        <f>IFERROR(__xludf.DUMMYFUNCTION("""COMPUTED_VALUE"""),60.0)</f>
        <v>60</v>
      </c>
      <c r="D497" s="4">
        <f>IFERROR(__xludf.DUMMYFUNCTION("""COMPUTED_VALUE"""),15985.0)</f>
        <v>15985</v>
      </c>
      <c r="E497" s="4">
        <f>IFERROR(__xludf.DUMMYFUNCTION("""COMPUTED_VALUE"""),1328.0)</f>
        <v>1328</v>
      </c>
      <c r="F497" s="4">
        <f>IFERROR(__xludf.DUMMYFUNCTION("""COMPUTED_VALUE"""),141.0)</f>
        <v>141</v>
      </c>
      <c r="G497" s="4">
        <f>IFERROR(__xludf.DUMMYFUNCTION("""COMPUTED_VALUE"""),103.0)</f>
        <v>103</v>
      </c>
      <c r="H497" s="4">
        <f>IFERROR(__xludf.DUMMYFUNCTION("""COMPUTED_VALUE"""),69.0)</f>
        <v>69</v>
      </c>
      <c r="I497" s="2" t="str">
        <f>IFERROR(__xludf.DUMMYFUNCTION("""COMPUTED_VALUE"""),"regex")</f>
        <v>regex</v>
      </c>
      <c r="J497" s="2">
        <f t="shared" si="2"/>
        <v>16</v>
      </c>
      <c r="K497" s="2">
        <f t="shared" si="3"/>
        <v>200000</v>
      </c>
      <c r="L497" s="2" t="str">
        <f t="shared" si="4"/>
        <v>P</v>
      </c>
    </row>
    <row r="498">
      <c r="A498" s="2" t="str">
        <f>IFERROR(__xludf.DUMMYFUNCTION("""COMPUTED_VALUE"""),"examples/regex/password/passw_complex_8_10_sat")</f>
        <v>examples/regex/password/passw_complex_8_10_sat</v>
      </c>
      <c r="B498" s="4">
        <f>IFERROR(__xludf.DUMMYFUNCTION("""COMPUTED_VALUE"""),46314.0)</f>
        <v>46314</v>
      </c>
      <c r="C498" s="4">
        <f>IFERROR(__xludf.DUMMYFUNCTION("""COMPUTED_VALUE"""),60.0)</f>
        <v>60</v>
      </c>
      <c r="D498" s="4">
        <f>IFERROR(__xludf.DUMMYFUNCTION("""COMPUTED_VALUE"""),273.0)</f>
        <v>273</v>
      </c>
      <c r="E498" s="4">
        <f>IFERROR(__xludf.DUMMYFUNCTION("""COMPUTED_VALUE"""),11.0)</f>
        <v>11</v>
      </c>
      <c r="F498" s="4">
        <f>IFERROR(__xludf.DUMMYFUNCTION("""COMPUTED_VALUE"""),10.0)</f>
        <v>10</v>
      </c>
      <c r="G498" s="4">
        <f>IFERROR(__xludf.DUMMYFUNCTION("""COMPUTED_VALUE"""),9.0)</f>
        <v>9</v>
      </c>
      <c r="H498" s="4">
        <f>IFERROR(__xludf.DUMMYFUNCTION("""COMPUTED_VALUE"""),8.0)</f>
        <v>8</v>
      </c>
      <c r="I498" s="2" t="str">
        <f>IFERROR(__xludf.DUMMYFUNCTION("""COMPUTED_VALUE"""),"regex")</f>
        <v>regex</v>
      </c>
      <c r="J498" s="2">
        <f t="shared" si="2"/>
        <v>14</v>
      </c>
      <c r="K498" s="2">
        <f t="shared" si="3"/>
        <v>50000</v>
      </c>
      <c r="L498" s="2" t="str">
        <f t="shared" si="4"/>
        <v>P</v>
      </c>
    </row>
    <row r="499">
      <c r="A499" s="2" t="str">
        <f>IFERROR(__xludf.DUMMYFUNCTION("""COMPUTED_VALUE"""),"examples/regex/password/passw_very_complex_6_7_unsat")</f>
        <v>examples/regex/password/passw_very_complex_6_7_unsat</v>
      </c>
      <c r="B499" s="4">
        <f>IFERROR(__xludf.DUMMYFUNCTION("""COMPUTED_VALUE"""),66277.0)</f>
        <v>66277</v>
      </c>
      <c r="C499" s="4">
        <f>IFERROR(__xludf.DUMMYFUNCTION("""COMPUTED_VALUE"""),60.0)</f>
        <v>60</v>
      </c>
      <c r="D499" s="4">
        <f>IFERROR(__xludf.DUMMYFUNCTION("""COMPUTED_VALUE"""),1678.0)</f>
        <v>1678</v>
      </c>
      <c r="E499" s="4">
        <f>IFERROR(__xludf.DUMMYFUNCTION("""COMPUTED_VALUE"""),283.0)</f>
        <v>283</v>
      </c>
      <c r="F499" s="4">
        <f>IFERROR(__xludf.DUMMYFUNCTION("""COMPUTED_VALUE"""),101.0)</f>
        <v>101</v>
      </c>
      <c r="G499" s="4">
        <f>IFERROR(__xludf.DUMMYFUNCTION("""COMPUTED_VALUE"""),155.0)</f>
        <v>155</v>
      </c>
      <c r="H499" s="4">
        <f>IFERROR(__xludf.DUMMYFUNCTION("""COMPUTED_VALUE"""),22.0)</f>
        <v>22</v>
      </c>
      <c r="I499" s="2" t="str">
        <f>IFERROR(__xludf.DUMMYFUNCTION("""COMPUTED_VALUE"""),"regex")</f>
        <v>regex</v>
      </c>
      <c r="J499" s="2">
        <f t="shared" si="2"/>
        <v>14</v>
      </c>
      <c r="K499" s="2">
        <f t="shared" si="3"/>
        <v>50000</v>
      </c>
      <c r="L499" s="2" t="str">
        <f t="shared" si="4"/>
        <v>P</v>
      </c>
    </row>
    <row r="500">
      <c r="A500" s="2" t="str">
        <f>IFERROR(__xludf.DUMMYFUNCTION("""COMPUTED_VALUE"""),"examples/regex/password/passw_very_complex_3_7_unsat")</f>
        <v>examples/regex/password/passw_very_complex_3_7_unsat</v>
      </c>
      <c r="B500" s="4">
        <f>IFERROR(__xludf.DUMMYFUNCTION("""COMPUTED_VALUE"""),65775.0)</f>
        <v>65775</v>
      </c>
      <c r="C500" s="4">
        <f>IFERROR(__xludf.DUMMYFUNCTION("""COMPUTED_VALUE"""),60.0)</f>
        <v>60</v>
      </c>
      <c r="D500" s="4">
        <f>IFERROR(__xludf.DUMMYFUNCTION("""COMPUTED_VALUE"""),1673.0)</f>
        <v>1673</v>
      </c>
      <c r="E500" s="4">
        <f>IFERROR(__xludf.DUMMYFUNCTION("""COMPUTED_VALUE"""),271.0)</f>
        <v>271</v>
      </c>
      <c r="F500" s="4">
        <f>IFERROR(__xludf.DUMMYFUNCTION("""COMPUTED_VALUE"""),96.0)</f>
        <v>96</v>
      </c>
      <c r="G500" s="4">
        <f>IFERROR(__xludf.DUMMYFUNCTION("""COMPUTED_VALUE"""),151.0)</f>
        <v>151</v>
      </c>
      <c r="H500" s="4">
        <f>IFERROR(__xludf.DUMMYFUNCTION("""COMPUTED_VALUE"""),22.0)</f>
        <v>22</v>
      </c>
      <c r="I500" s="2" t="str">
        <f>IFERROR(__xludf.DUMMYFUNCTION("""COMPUTED_VALUE"""),"regex")</f>
        <v>regex</v>
      </c>
      <c r="J500" s="2">
        <f t="shared" si="2"/>
        <v>14</v>
      </c>
      <c r="K500" s="2">
        <f t="shared" si="3"/>
        <v>50000</v>
      </c>
      <c r="L500" s="2" t="str">
        <f t="shared" si="4"/>
        <v>P</v>
      </c>
    </row>
    <row r="501">
      <c r="A501" s="2" t="str">
        <f>IFERROR(__xludf.DUMMYFUNCTION("""COMPUTED_VALUE"""),"examples/regex/password/passw_very_complex_12_12_sat")</f>
        <v>examples/regex/password/passw_very_complex_12_12_sat</v>
      </c>
      <c r="B501" s="4">
        <f>IFERROR(__xludf.DUMMYFUNCTION("""COMPUTED_VALUE"""),288038.0)</f>
        <v>288038</v>
      </c>
      <c r="C501" s="4">
        <f>IFERROR(__xludf.DUMMYFUNCTION("""COMPUTED_VALUE"""),60.0)</f>
        <v>60</v>
      </c>
      <c r="D501" s="4">
        <f>IFERROR(__xludf.DUMMYFUNCTION("""COMPUTED_VALUE"""),15485.0)</f>
        <v>15485</v>
      </c>
      <c r="E501" s="4">
        <f>IFERROR(__xludf.DUMMYFUNCTION("""COMPUTED_VALUE"""),981.0)</f>
        <v>981</v>
      </c>
      <c r="F501" s="4">
        <f>IFERROR(__xludf.DUMMYFUNCTION("""COMPUTED_VALUE"""),129.0)</f>
        <v>129</v>
      </c>
      <c r="G501" s="4">
        <f>IFERROR(__xludf.DUMMYFUNCTION("""COMPUTED_VALUE"""),97.0)</f>
        <v>97</v>
      </c>
      <c r="H501" s="4">
        <f>IFERROR(__xludf.DUMMYFUNCTION("""COMPUTED_VALUE"""),66.0)</f>
        <v>66</v>
      </c>
      <c r="I501" s="2" t="str">
        <f>IFERROR(__xludf.DUMMYFUNCTION("""COMPUTED_VALUE"""),"regex")</f>
        <v>regex</v>
      </c>
      <c r="J501" s="2">
        <f t="shared" si="2"/>
        <v>16</v>
      </c>
      <c r="K501" s="2">
        <f t="shared" si="3"/>
        <v>200000</v>
      </c>
      <c r="L501" s="2" t="str">
        <f t="shared" si="4"/>
        <v>P</v>
      </c>
    </row>
    <row r="502">
      <c r="A502" s="2" t="str">
        <f>IFERROR(__xludf.DUMMYFUNCTION("""COMPUTED_VALUE"""),"examples/regex/password/passw_very_complex_4_7_unsat")</f>
        <v>examples/regex/password/passw_very_complex_4_7_unsat</v>
      </c>
      <c r="B502" s="4">
        <f>IFERROR(__xludf.DUMMYFUNCTION("""COMPUTED_VALUE"""),77535.0)</f>
        <v>77535</v>
      </c>
      <c r="C502" s="4">
        <f>IFERROR(__xludf.DUMMYFUNCTION("""COMPUTED_VALUE"""),60.0)</f>
        <v>60</v>
      </c>
      <c r="D502" s="4">
        <f>IFERROR(__xludf.DUMMYFUNCTION("""COMPUTED_VALUE"""),1784.0)</f>
        <v>1784</v>
      </c>
      <c r="E502" s="4">
        <f>IFERROR(__xludf.DUMMYFUNCTION("""COMPUTED_VALUE"""),412.0)</f>
        <v>412</v>
      </c>
      <c r="F502" s="4">
        <f>IFERROR(__xludf.DUMMYFUNCTION("""COMPUTED_VALUE"""),119.0)</f>
        <v>119</v>
      </c>
      <c r="G502" s="4">
        <f>IFERROR(__xludf.DUMMYFUNCTION("""COMPUTED_VALUE"""),172.0)</f>
        <v>172</v>
      </c>
      <c r="H502" s="4">
        <f>IFERROR(__xludf.DUMMYFUNCTION("""COMPUTED_VALUE"""),28.0)</f>
        <v>28</v>
      </c>
      <c r="I502" s="2" t="str">
        <f>IFERROR(__xludf.DUMMYFUNCTION("""COMPUTED_VALUE"""),"regex")</f>
        <v>regex</v>
      </c>
      <c r="J502" s="2">
        <f t="shared" si="2"/>
        <v>15</v>
      </c>
      <c r="K502" s="2">
        <f t="shared" si="3"/>
        <v>100000</v>
      </c>
      <c r="L502" s="2" t="str">
        <f t="shared" si="4"/>
        <v>P</v>
      </c>
    </row>
    <row r="503">
      <c r="A503" s="2" t="str">
        <f>IFERROR(__xludf.DUMMYFUNCTION("""COMPUTED_VALUE"""),"examples/regex/password/passw_very_complex_3_4_unsat")</f>
        <v>examples/regex/password/passw_very_complex_3_4_unsat</v>
      </c>
      <c r="B503" s="4">
        <f>IFERROR(__xludf.DUMMYFUNCTION("""COMPUTED_VALUE"""),4142.0)</f>
        <v>4142</v>
      </c>
      <c r="C503" s="4">
        <f>IFERROR(__xludf.DUMMYFUNCTION("""COMPUTED_VALUE"""),60.0)</f>
        <v>60</v>
      </c>
      <c r="D503" s="4">
        <f>IFERROR(__xludf.DUMMYFUNCTION("""COMPUTED_VALUE"""),30.0)</f>
        <v>30</v>
      </c>
      <c r="E503" s="4">
        <f>IFERROR(__xludf.DUMMYFUNCTION("""COMPUTED_VALUE"""),3.0)</f>
        <v>3</v>
      </c>
      <c r="F503" s="4">
        <f>IFERROR(__xludf.DUMMYFUNCTION("""COMPUTED_VALUE"""),4.0)</f>
        <v>4</v>
      </c>
      <c r="G503" s="4">
        <f>IFERROR(__xludf.DUMMYFUNCTION("""COMPUTED_VALUE"""),11.0)</f>
        <v>11</v>
      </c>
      <c r="H503" s="4">
        <f>IFERROR(__xludf.DUMMYFUNCTION("""COMPUTED_VALUE"""),1.0)</f>
        <v>1</v>
      </c>
      <c r="I503" s="2" t="str">
        <f>IFERROR(__xludf.DUMMYFUNCTION("""COMPUTED_VALUE"""),"regex")</f>
        <v>regex</v>
      </c>
      <c r="J503" s="2">
        <f t="shared" si="2"/>
        <v>11</v>
      </c>
      <c r="K503" s="2">
        <f t="shared" si="3"/>
        <v>5000</v>
      </c>
      <c r="L503" s="2" t="str">
        <f t="shared" si="4"/>
        <v>P</v>
      </c>
    </row>
    <row r="504">
      <c r="A504" s="2" t="str">
        <f>IFERROR(__xludf.DUMMYFUNCTION("""COMPUTED_VALUE"""),"examples/regex/password/passw_very_complex_11_12_sat")</f>
        <v>examples/regex/password/passw_very_complex_11_12_sat</v>
      </c>
      <c r="B504" s="4">
        <f>IFERROR(__xludf.DUMMYFUNCTION("""COMPUTED_VALUE"""),301353.0)</f>
        <v>301353</v>
      </c>
      <c r="C504" s="4">
        <f>IFERROR(__xludf.DUMMYFUNCTION("""COMPUTED_VALUE"""),60.0)</f>
        <v>60</v>
      </c>
      <c r="D504" s="4">
        <f>IFERROR(__xludf.DUMMYFUNCTION("""COMPUTED_VALUE"""),15970.0)</f>
        <v>15970</v>
      </c>
      <c r="E504" s="4">
        <f>IFERROR(__xludf.DUMMYFUNCTION("""COMPUTED_VALUE"""),1330.0)</f>
        <v>1330</v>
      </c>
      <c r="F504" s="4">
        <f>IFERROR(__xludf.DUMMYFUNCTION("""COMPUTED_VALUE"""),144.0)</f>
        <v>144</v>
      </c>
      <c r="G504" s="4">
        <f>IFERROR(__xludf.DUMMYFUNCTION("""COMPUTED_VALUE"""),107.0)</f>
        <v>107</v>
      </c>
      <c r="H504" s="4">
        <f>IFERROR(__xludf.DUMMYFUNCTION("""COMPUTED_VALUE"""),73.0)</f>
        <v>73</v>
      </c>
      <c r="I504" s="2" t="str">
        <f>IFERROR(__xludf.DUMMYFUNCTION("""COMPUTED_VALUE"""),"regex")</f>
        <v>regex</v>
      </c>
      <c r="J504" s="2">
        <f t="shared" si="2"/>
        <v>16</v>
      </c>
      <c r="K504" s="2">
        <f t="shared" si="3"/>
        <v>200000</v>
      </c>
      <c r="L504" s="2" t="str">
        <f t="shared" si="4"/>
        <v>P</v>
      </c>
    </row>
    <row r="505">
      <c r="A505" s="2" t="str">
        <f>IFERROR(__xludf.DUMMYFUNCTION("""COMPUTED_VALUE"""),"examples/regex/password/passw_very_complex_5_7_unsat")</f>
        <v>examples/regex/password/passw_very_complex_5_7_unsat</v>
      </c>
      <c r="B505" s="4">
        <f>IFERROR(__xludf.DUMMYFUNCTION("""COMPUTED_VALUE"""),66277.0)</f>
        <v>66277</v>
      </c>
      <c r="C505" s="4">
        <f>IFERROR(__xludf.DUMMYFUNCTION("""COMPUTED_VALUE"""),60.0)</f>
        <v>60</v>
      </c>
      <c r="D505" s="4">
        <f>IFERROR(__xludf.DUMMYFUNCTION("""COMPUTED_VALUE"""),1670.0)</f>
        <v>1670</v>
      </c>
      <c r="E505" s="4">
        <f>IFERROR(__xludf.DUMMYFUNCTION("""COMPUTED_VALUE"""),283.0)</f>
        <v>283</v>
      </c>
      <c r="F505" s="4">
        <f>IFERROR(__xludf.DUMMYFUNCTION("""COMPUTED_VALUE"""),100.0)</f>
        <v>100</v>
      </c>
      <c r="G505" s="4">
        <f>IFERROR(__xludf.DUMMYFUNCTION("""COMPUTED_VALUE"""),152.0)</f>
        <v>152</v>
      </c>
      <c r="H505" s="4">
        <f>IFERROR(__xludf.DUMMYFUNCTION("""COMPUTED_VALUE"""),22.0)</f>
        <v>22</v>
      </c>
      <c r="I505" s="2" t="str">
        <f>IFERROR(__xludf.DUMMYFUNCTION("""COMPUTED_VALUE"""),"regex")</f>
        <v>regex</v>
      </c>
      <c r="J505" s="2">
        <f t="shared" si="2"/>
        <v>14</v>
      </c>
      <c r="K505" s="2">
        <f t="shared" si="3"/>
        <v>50000</v>
      </c>
      <c r="L505" s="2" t="str">
        <f t="shared" si="4"/>
        <v>P</v>
      </c>
    </row>
    <row r="506">
      <c r="A506" s="2" t="str">
        <f>IFERROR(__xludf.DUMMYFUNCTION("""COMPUTED_VALUE"""),"examples/regex/password/passw_very_complex_2_4_unsat")</f>
        <v>examples/regex/password/passw_very_complex_2_4_unsat</v>
      </c>
      <c r="B506" s="4">
        <f>IFERROR(__xludf.DUMMYFUNCTION("""COMPUTED_VALUE"""),6865.0)</f>
        <v>6865</v>
      </c>
      <c r="C506" s="4">
        <f>IFERROR(__xludf.DUMMYFUNCTION("""COMPUTED_VALUE"""),60.0)</f>
        <v>60</v>
      </c>
      <c r="D506" s="4">
        <f>IFERROR(__xludf.DUMMYFUNCTION("""COMPUTED_VALUE"""),39.0)</f>
        <v>39</v>
      </c>
      <c r="E506" s="4">
        <f>IFERROR(__xludf.DUMMYFUNCTION("""COMPUTED_VALUE"""),6.0)</f>
        <v>6</v>
      </c>
      <c r="F506" s="4">
        <f>IFERROR(__xludf.DUMMYFUNCTION("""COMPUTED_VALUE"""),7.0)</f>
        <v>7</v>
      </c>
      <c r="G506" s="4">
        <f>IFERROR(__xludf.DUMMYFUNCTION("""COMPUTED_VALUE"""),13.0)</f>
        <v>13</v>
      </c>
      <c r="H506" s="4">
        <f>IFERROR(__xludf.DUMMYFUNCTION("""COMPUTED_VALUE"""),2.0)</f>
        <v>2</v>
      </c>
      <c r="I506" s="2" t="str">
        <f>IFERROR(__xludf.DUMMYFUNCTION("""COMPUTED_VALUE"""),"regex")</f>
        <v>regex</v>
      </c>
      <c r="J506" s="2">
        <f t="shared" si="2"/>
        <v>12</v>
      </c>
      <c r="K506" s="2">
        <f t="shared" si="3"/>
        <v>10000</v>
      </c>
      <c r="L506" s="2" t="str">
        <f t="shared" si="4"/>
        <v>P</v>
      </c>
    </row>
    <row r="507">
      <c r="A507" s="2" t="str">
        <f>IFERROR(__xludf.DUMMYFUNCTION("""COMPUTED_VALUE"""),"examples/regex/password/passw_very_complex_2_7_unsat")</f>
        <v>examples/regex/password/passw_very_complex_2_7_unsat</v>
      </c>
      <c r="B507" s="4">
        <f>IFERROR(__xludf.DUMMYFUNCTION("""COMPUTED_VALUE"""),77535.0)</f>
        <v>77535</v>
      </c>
      <c r="C507" s="4">
        <f>IFERROR(__xludf.DUMMYFUNCTION("""COMPUTED_VALUE"""),60.0)</f>
        <v>60</v>
      </c>
      <c r="D507" s="4">
        <f>IFERROR(__xludf.DUMMYFUNCTION("""COMPUTED_VALUE"""),1798.0)</f>
        <v>1798</v>
      </c>
      <c r="E507" s="4">
        <f>IFERROR(__xludf.DUMMYFUNCTION("""COMPUTED_VALUE"""),414.0)</f>
        <v>414</v>
      </c>
      <c r="F507" s="4">
        <f>IFERROR(__xludf.DUMMYFUNCTION("""COMPUTED_VALUE"""),118.0)</f>
        <v>118</v>
      </c>
      <c r="G507" s="4">
        <f>IFERROR(__xludf.DUMMYFUNCTION("""COMPUTED_VALUE"""),162.0)</f>
        <v>162</v>
      </c>
      <c r="H507" s="4">
        <f>IFERROR(__xludf.DUMMYFUNCTION("""COMPUTED_VALUE"""),26.0)</f>
        <v>26</v>
      </c>
      <c r="I507" s="2" t="str">
        <f>IFERROR(__xludf.DUMMYFUNCTION("""COMPUTED_VALUE"""),"regex")</f>
        <v>regex</v>
      </c>
      <c r="J507" s="2">
        <f t="shared" si="2"/>
        <v>15</v>
      </c>
      <c r="K507" s="2">
        <f t="shared" si="3"/>
        <v>100000</v>
      </c>
      <c r="L507" s="2" t="str">
        <f t="shared" si="4"/>
        <v>P</v>
      </c>
    </row>
    <row r="508">
      <c r="A508" s="2" t="str">
        <f>IFERROR(__xludf.DUMMYFUNCTION("""COMPUTED_VALUE"""),"examples/regex/password/passw_very_complex_10_12_sat")</f>
        <v>examples/regex/password/passw_very_complex_10_12_sat</v>
      </c>
      <c r="B508" s="4">
        <f>IFERROR(__xludf.DUMMYFUNCTION("""COMPUTED_VALUE"""),288229.0)</f>
        <v>288229</v>
      </c>
      <c r="C508" s="4">
        <f>IFERROR(__xludf.DUMMYFUNCTION("""COMPUTED_VALUE"""),60.0)</f>
        <v>60</v>
      </c>
      <c r="D508" s="4">
        <f>IFERROR(__xludf.DUMMYFUNCTION("""COMPUTED_VALUE"""),15430.0)</f>
        <v>15430</v>
      </c>
      <c r="E508" s="4">
        <f>IFERROR(__xludf.DUMMYFUNCTION("""COMPUTED_VALUE"""),981.0)</f>
        <v>981</v>
      </c>
      <c r="F508" s="4">
        <f>IFERROR(__xludf.DUMMYFUNCTION("""COMPUTED_VALUE"""),132.0)</f>
        <v>132</v>
      </c>
      <c r="G508" s="4">
        <f>IFERROR(__xludf.DUMMYFUNCTION("""COMPUTED_VALUE"""),99.0)</f>
        <v>99</v>
      </c>
      <c r="H508" s="4">
        <f>IFERROR(__xludf.DUMMYFUNCTION("""COMPUTED_VALUE"""),67.0)</f>
        <v>67</v>
      </c>
      <c r="I508" s="2" t="str">
        <f>IFERROR(__xludf.DUMMYFUNCTION("""COMPUTED_VALUE"""),"regex")</f>
        <v>regex</v>
      </c>
      <c r="J508" s="2">
        <f t="shared" si="2"/>
        <v>16</v>
      </c>
      <c r="K508" s="2">
        <f t="shared" si="3"/>
        <v>200000</v>
      </c>
      <c r="L508" s="2" t="str">
        <f t="shared" si="4"/>
        <v>P</v>
      </c>
    </row>
    <row r="509">
      <c r="A509" s="2" t="str">
        <f>IFERROR(__xludf.DUMMYFUNCTION("""COMPUTED_VALUE"""),"examples/regex/regexlib/RegexMembership/sat/membership_1749")</f>
        <v>examples/regex/regexlib/RegexMembership/sat/membership_1749</v>
      </c>
      <c r="B509" s="4">
        <f>IFERROR(__xludf.DUMMYFUNCTION("""COMPUTED_VALUE"""),11716.0)</f>
        <v>11716</v>
      </c>
      <c r="C509" s="4">
        <f>IFERROR(__xludf.DUMMYFUNCTION("""COMPUTED_VALUE"""),60.0)</f>
        <v>60</v>
      </c>
      <c r="D509" s="4">
        <f>IFERROR(__xludf.DUMMYFUNCTION("""COMPUTED_VALUE"""),3932.0)</f>
        <v>3932</v>
      </c>
      <c r="E509" s="4">
        <f>IFERROR(__xludf.DUMMYFUNCTION("""COMPUTED_VALUE"""),130.0)</f>
        <v>130</v>
      </c>
      <c r="F509" s="4">
        <f>IFERROR(__xludf.DUMMYFUNCTION("""COMPUTED_VALUE"""),240.0)</f>
        <v>240</v>
      </c>
      <c r="G509" s="4">
        <f>IFERROR(__xludf.DUMMYFUNCTION("""COMPUTED_VALUE"""),90.0)</f>
        <v>90</v>
      </c>
      <c r="H509" s="4">
        <f>IFERROR(__xludf.DUMMYFUNCTION("""COMPUTED_VALUE"""),6.0)</f>
        <v>6</v>
      </c>
      <c r="I509" s="2" t="str">
        <f>IFERROR(__xludf.DUMMYFUNCTION("""COMPUTED_VALUE"""),"regex")</f>
        <v>regex</v>
      </c>
      <c r="J509" s="2">
        <f t="shared" si="2"/>
        <v>12</v>
      </c>
      <c r="K509" s="2">
        <f t="shared" si="3"/>
        <v>10000</v>
      </c>
      <c r="L509" s="2" t="str">
        <f t="shared" si="4"/>
        <v>P</v>
      </c>
    </row>
    <row r="510">
      <c r="A510" s="2" t="str">
        <f>IFERROR(__xludf.DUMMYFUNCTION("""COMPUTED_VALUE"""),"examples/regex/regexlib/RegexMembership/sat/membership_437")</f>
        <v>examples/regex/regexlib/RegexMembership/sat/membership_437</v>
      </c>
      <c r="B510" s="4">
        <f>IFERROR(__xludf.DUMMYFUNCTION("""COMPUTED_VALUE"""),861.0)</f>
        <v>861</v>
      </c>
      <c r="C510" s="4">
        <f>IFERROR(__xludf.DUMMYFUNCTION("""COMPUTED_VALUE"""),60.0)</f>
        <v>60</v>
      </c>
      <c r="D510" s="4">
        <f>IFERROR(__xludf.DUMMYFUNCTION("""COMPUTED_VALUE"""),15.0)</f>
        <v>15</v>
      </c>
      <c r="E510" s="4">
        <f>IFERROR(__xludf.DUMMYFUNCTION("""COMPUTED_VALUE"""),0.0)</f>
        <v>0</v>
      </c>
      <c r="F510" s="4">
        <f>IFERROR(__xludf.DUMMYFUNCTION("""COMPUTED_VALUE"""),0.0)</f>
        <v>0</v>
      </c>
      <c r="G510" s="4">
        <f>IFERROR(__xludf.DUMMYFUNCTION("""COMPUTED_VALUE"""),1.0)</f>
        <v>1</v>
      </c>
      <c r="H510" s="4">
        <f>IFERROR(__xludf.DUMMYFUNCTION("""COMPUTED_VALUE"""),0.0)</f>
        <v>0</v>
      </c>
      <c r="I510" s="2" t="str">
        <f>IFERROR(__xludf.DUMMYFUNCTION("""COMPUTED_VALUE"""),"regex")</f>
        <v>regex</v>
      </c>
      <c r="J510" s="2">
        <f t="shared" si="2"/>
        <v>9</v>
      </c>
      <c r="K510" s="2">
        <f t="shared" si="3"/>
        <v>1000</v>
      </c>
      <c r="L510" s="2" t="str">
        <f t="shared" si="4"/>
        <v>BP</v>
      </c>
    </row>
    <row r="511">
      <c r="A511" s="2" t="str">
        <f>IFERROR(__xludf.DUMMYFUNCTION("""COMPUTED_VALUE"""),"examples/regex/regexlib/RegexMembership/sat/membership_166")</f>
        <v>examples/regex/regexlib/RegexMembership/sat/membership_166</v>
      </c>
      <c r="B511" s="4">
        <f>IFERROR(__xludf.DUMMYFUNCTION("""COMPUTED_VALUE"""),1008.0)</f>
        <v>1008</v>
      </c>
      <c r="C511" s="4">
        <f>IFERROR(__xludf.DUMMYFUNCTION("""COMPUTED_VALUE"""),60.0)</f>
        <v>60</v>
      </c>
      <c r="D511" s="4">
        <f>IFERROR(__xludf.DUMMYFUNCTION("""COMPUTED_VALUE"""),25.0)</f>
        <v>25</v>
      </c>
      <c r="E511" s="4">
        <f>IFERROR(__xludf.DUMMYFUNCTION("""COMPUTED_VALUE"""),0.0)</f>
        <v>0</v>
      </c>
      <c r="F511" s="4">
        <f>IFERROR(__xludf.DUMMYFUNCTION("""COMPUTED_VALUE"""),0.0)</f>
        <v>0</v>
      </c>
      <c r="G511" s="4">
        <f>IFERROR(__xludf.DUMMYFUNCTION("""COMPUTED_VALUE"""),2.0)</f>
        <v>2</v>
      </c>
      <c r="H511" s="4">
        <f>IFERROR(__xludf.DUMMYFUNCTION("""COMPUTED_VALUE"""),0.0)</f>
        <v>0</v>
      </c>
      <c r="I511" s="2" t="str">
        <f>IFERROR(__xludf.DUMMYFUNCTION("""COMPUTED_VALUE"""),"regex")</f>
        <v>regex</v>
      </c>
      <c r="J511" s="2">
        <f t="shared" si="2"/>
        <v>9</v>
      </c>
      <c r="K511" s="2">
        <f t="shared" si="3"/>
        <v>1000</v>
      </c>
      <c r="L511" s="2" t="str">
        <f t="shared" si="4"/>
        <v>BP</v>
      </c>
    </row>
    <row r="512">
      <c r="A512" s="2" t="str">
        <f>IFERROR(__xludf.DUMMYFUNCTION("""COMPUTED_VALUE"""),"examples/regex/regexlib/RegexMembership/sat/membership_854")</f>
        <v>examples/regex/regexlib/RegexMembership/sat/membership_854</v>
      </c>
      <c r="B512" s="4">
        <f>IFERROR(__xludf.DUMMYFUNCTION("""COMPUTED_VALUE"""),66513.0)</f>
        <v>66513</v>
      </c>
      <c r="C512" s="4">
        <f>IFERROR(__xludf.DUMMYFUNCTION("""COMPUTED_VALUE"""),60.0)</f>
        <v>60</v>
      </c>
      <c r="D512" s="4">
        <f>IFERROR(__xludf.DUMMYFUNCTION("""COMPUTED_VALUE"""),1569.0)</f>
        <v>1569</v>
      </c>
      <c r="E512" s="4">
        <f>IFERROR(__xludf.DUMMYFUNCTION("""COMPUTED_VALUE"""),20.0)</f>
        <v>20</v>
      </c>
      <c r="F512" s="4">
        <f>IFERROR(__xludf.DUMMYFUNCTION("""COMPUTED_VALUE"""),1793.0)</f>
        <v>1793</v>
      </c>
      <c r="G512" s="4">
        <f>IFERROR(__xludf.DUMMYFUNCTION("""COMPUTED_VALUE"""),24.0)</f>
        <v>24</v>
      </c>
      <c r="H512" s="4">
        <f>IFERROR(__xludf.DUMMYFUNCTION("""COMPUTED_VALUE"""),18.0)</f>
        <v>18</v>
      </c>
      <c r="I512" s="2" t="str">
        <f>IFERROR(__xludf.DUMMYFUNCTION("""COMPUTED_VALUE"""),"regex")</f>
        <v>regex</v>
      </c>
      <c r="J512" s="2">
        <f t="shared" si="2"/>
        <v>14</v>
      </c>
      <c r="K512" s="2">
        <f t="shared" si="3"/>
        <v>50000</v>
      </c>
      <c r="L512" s="2" t="str">
        <f t="shared" si="4"/>
        <v>P</v>
      </c>
    </row>
    <row r="513">
      <c r="A513" s="2" t="str">
        <f>IFERROR(__xludf.DUMMYFUNCTION("""COMPUTED_VALUE"""),"examples/regex/regexlib/RegexMembership/sat/membership_518")</f>
        <v>examples/regex/regexlib/RegexMembership/sat/membership_518</v>
      </c>
      <c r="B513" s="4">
        <f>IFERROR(__xludf.DUMMYFUNCTION("""COMPUTED_VALUE"""),8002.0)</f>
        <v>8002</v>
      </c>
      <c r="C513" s="4">
        <f>IFERROR(__xludf.DUMMYFUNCTION("""COMPUTED_VALUE"""),60.0)</f>
        <v>60</v>
      </c>
      <c r="D513" s="4">
        <f>IFERROR(__xludf.DUMMYFUNCTION("""COMPUTED_VALUE"""),2185.0)</f>
        <v>2185</v>
      </c>
      <c r="E513" s="4">
        <f>IFERROR(__xludf.DUMMYFUNCTION("""COMPUTED_VALUE"""),5.0)</f>
        <v>5</v>
      </c>
      <c r="F513" s="4">
        <f>IFERROR(__xludf.DUMMYFUNCTION("""COMPUTED_VALUE"""),26.0)</f>
        <v>26</v>
      </c>
      <c r="G513" s="4">
        <f>IFERROR(__xludf.DUMMYFUNCTION("""COMPUTED_VALUE"""),104.0)</f>
        <v>104</v>
      </c>
      <c r="H513" s="4">
        <f>IFERROR(__xludf.DUMMYFUNCTION("""COMPUTED_VALUE"""),4.0)</f>
        <v>4</v>
      </c>
      <c r="I513" s="2" t="str">
        <f>IFERROR(__xludf.DUMMYFUNCTION("""COMPUTED_VALUE"""),"regex")</f>
        <v>regex</v>
      </c>
      <c r="J513" s="2">
        <f t="shared" si="2"/>
        <v>12</v>
      </c>
      <c r="K513" s="2">
        <f t="shared" si="3"/>
        <v>10000</v>
      </c>
      <c r="L513" s="2" t="str">
        <f t="shared" si="4"/>
        <v>P</v>
      </c>
    </row>
    <row r="514">
      <c r="A514" s="2" t="str">
        <f>IFERROR(__xludf.DUMMYFUNCTION("""COMPUTED_VALUE"""),"examples/regex/regexlib/RegexMembership/sat/membership_991")</f>
        <v>examples/regex/regexlib/RegexMembership/sat/membership_991</v>
      </c>
      <c r="B514" s="4">
        <f>IFERROR(__xludf.DUMMYFUNCTION("""COMPUTED_VALUE"""),873.0)</f>
        <v>873</v>
      </c>
      <c r="C514" s="4">
        <f>IFERROR(__xludf.DUMMYFUNCTION("""COMPUTED_VALUE"""),60.0)</f>
        <v>60</v>
      </c>
      <c r="D514" s="4">
        <f>IFERROR(__xludf.DUMMYFUNCTION("""COMPUTED_VALUE"""),16.0)</f>
        <v>16</v>
      </c>
      <c r="E514" s="4">
        <f>IFERROR(__xludf.DUMMYFUNCTION("""COMPUTED_VALUE"""),0.0)</f>
        <v>0</v>
      </c>
      <c r="F514" s="4">
        <f>IFERROR(__xludf.DUMMYFUNCTION("""COMPUTED_VALUE"""),1.0)</f>
        <v>1</v>
      </c>
      <c r="G514" s="4">
        <f>IFERROR(__xludf.DUMMYFUNCTION("""COMPUTED_VALUE"""),4.0)</f>
        <v>4</v>
      </c>
      <c r="H514" s="4">
        <f>IFERROR(__xludf.DUMMYFUNCTION("""COMPUTED_VALUE"""),0.0)</f>
        <v>0</v>
      </c>
      <c r="I514" s="2" t="str">
        <f>IFERROR(__xludf.DUMMYFUNCTION("""COMPUTED_VALUE"""),"regex")</f>
        <v>regex</v>
      </c>
      <c r="J514" s="2">
        <f t="shared" si="2"/>
        <v>9</v>
      </c>
      <c r="K514" s="2">
        <f t="shared" si="3"/>
        <v>1000</v>
      </c>
      <c r="L514" s="2" t="str">
        <f t="shared" si="4"/>
        <v>P</v>
      </c>
    </row>
    <row r="515">
      <c r="A515" s="2" t="str">
        <f>IFERROR(__xludf.DUMMYFUNCTION("""COMPUTED_VALUE"""),"examples/regex/regexlib/RegexMembership/sat/membership_1703")</f>
        <v>examples/regex/regexlib/RegexMembership/sat/membership_1703</v>
      </c>
      <c r="B515" s="4">
        <f>IFERROR(__xludf.DUMMYFUNCTION("""COMPUTED_VALUE"""),858.0)</f>
        <v>858</v>
      </c>
      <c r="C515" s="4">
        <f>IFERROR(__xludf.DUMMYFUNCTION("""COMPUTED_VALUE"""),60.0)</f>
        <v>60</v>
      </c>
      <c r="D515" s="4">
        <f>IFERROR(__xludf.DUMMYFUNCTION("""COMPUTED_VALUE"""),31.0)</f>
        <v>31</v>
      </c>
      <c r="E515" s="4">
        <f>IFERROR(__xludf.DUMMYFUNCTION("""COMPUTED_VALUE"""),2.0)</f>
        <v>2</v>
      </c>
      <c r="F515" s="4">
        <f>IFERROR(__xludf.DUMMYFUNCTION("""COMPUTED_VALUE"""),1.0)</f>
        <v>1</v>
      </c>
      <c r="G515" s="4">
        <f>IFERROR(__xludf.DUMMYFUNCTION("""COMPUTED_VALUE"""),2.0)</f>
        <v>2</v>
      </c>
      <c r="H515" s="4">
        <f>IFERROR(__xludf.DUMMYFUNCTION("""COMPUTED_VALUE"""),0.0)</f>
        <v>0</v>
      </c>
      <c r="I515" s="2" t="str">
        <f>IFERROR(__xludf.DUMMYFUNCTION("""COMPUTED_VALUE"""),"regex")</f>
        <v>regex</v>
      </c>
      <c r="J515" s="2">
        <f t="shared" si="2"/>
        <v>9</v>
      </c>
      <c r="K515" s="2">
        <f t="shared" si="3"/>
        <v>1000</v>
      </c>
      <c r="L515" s="2" t="str">
        <f t="shared" si="4"/>
        <v>P</v>
      </c>
    </row>
    <row r="516">
      <c r="A516" s="2" t="str">
        <f>IFERROR(__xludf.DUMMYFUNCTION("""COMPUTED_VALUE"""),"examples/regex/regexlib/RegexMembership/sat/membership_1220")</f>
        <v>examples/regex/regexlib/RegexMembership/sat/membership_1220</v>
      </c>
      <c r="B516" s="4">
        <f>IFERROR(__xludf.DUMMYFUNCTION("""COMPUTED_VALUE"""),986.0)</f>
        <v>986</v>
      </c>
      <c r="C516" s="4">
        <f>IFERROR(__xludf.DUMMYFUNCTION("""COMPUTED_VALUE"""),60.0)</f>
        <v>60</v>
      </c>
      <c r="D516" s="4">
        <f>IFERROR(__xludf.DUMMYFUNCTION("""COMPUTED_VALUE"""),47.0)</f>
        <v>47</v>
      </c>
      <c r="E516" s="4">
        <f>IFERROR(__xludf.DUMMYFUNCTION("""COMPUTED_VALUE"""),0.0)</f>
        <v>0</v>
      </c>
      <c r="F516" s="4">
        <f>IFERROR(__xludf.DUMMYFUNCTION("""COMPUTED_VALUE"""),1.0)</f>
        <v>1</v>
      </c>
      <c r="G516" s="4">
        <f>IFERROR(__xludf.DUMMYFUNCTION("""COMPUTED_VALUE"""),2.0)</f>
        <v>2</v>
      </c>
      <c r="H516" s="4">
        <f>IFERROR(__xludf.DUMMYFUNCTION("""COMPUTED_VALUE"""),0.0)</f>
        <v>0</v>
      </c>
      <c r="I516" s="2" t="str">
        <f>IFERROR(__xludf.DUMMYFUNCTION("""COMPUTED_VALUE"""),"regex")</f>
        <v>regex</v>
      </c>
      <c r="J516" s="2">
        <f t="shared" si="2"/>
        <v>9</v>
      </c>
      <c r="K516" s="2">
        <f t="shared" si="3"/>
        <v>1000</v>
      </c>
      <c r="L516" s="2" t="str">
        <f t="shared" si="4"/>
        <v>P</v>
      </c>
    </row>
    <row r="517">
      <c r="A517" s="2" t="str">
        <f>IFERROR(__xludf.DUMMYFUNCTION("""COMPUTED_VALUE"""),"examples/regex/regexlib/RegexMembership/sat/membership_762")</f>
        <v>examples/regex/regexlib/RegexMembership/sat/membership_762</v>
      </c>
      <c r="B517" s="4">
        <f>IFERROR(__xludf.DUMMYFUNCTION("""COMPUTED_VALUE"""),899.0)</f>
        <v>899</v>
      </c>
      <c r="C517" s="4">
        <f>IFERROR(__xludf.DUMMYFUNCTION("""COMPUTED_VALUE"""),60.0)</f>
        <v>60</v>
      </c>
      <c r="D517" s="4">
        <f>IFERROR(__xludf.DUMMYFUNCTION("""COMPUTED_VALUE"""),12.0)</f>
        <v>12</v>
      </c>
      <c r="E517" s="4">
        <f>IFERROR(__xludf.DUMMYFUNCTION("""COMPUTED_VALUE"""),0.0)</f>
        <v>0</v>
      </c>
      <c r="F517" s="4">
        <f>IFERROR(__xludf.DUMMYFUNCTION("""COMPUTED_VALUE"""),0.0)</f>
        <v>0</v>
      </c>
      <c r="G517" s="4">
        <f>IFERROR(__xludf.DUMMYFUNCTION("""COMPUTED_VALUE"""),1.0)</f>
        <v>1</v>
      </c>
      <c r="H517" s="4">
        <f>IFERROR(__xludf.DUMMYFUNCTION("""COMPUTED_VALUE"""),0.0)</f>
        <v>0</v>
      </c>
      <c r="I517" s="2" t="str">
        <f>IFERROR(__xludf.DUMMYFUNCTION("""COMPUTED_VALUE"""),"regex")</f>
        <v>regex</v>
      </c>
      <c r="J517" s="2">
        <f t="shared" si="2"/>
        <v>9</v>
      </c>
      <c r="K517" s="2">
        <f t="shared" si="3"/>
        <v>1000</v>
      </c>
      <c r="L517" s="2" t="str">
        <f t="shared" si="4"/>
        <v>BP</v>
      </c>
    </row>
    <row r="518">
      <c r="A518" s="2" t="str">
        <f>IFERROR(__xludf.DUMMYFUNCTION("""COMPUTED_VALUE"""),"examples/regex/regexlib/RegexMembership/sat/membership_880")</f>
        <v>examples/regex/regexlib/RegexMembership/sat/membership_880</v>
      </c>
      <c r="B518" s="4">
        <f>IFERROR(__xludf.DUMMYFUNCTION("""COMPUTED_VALUE"""),1597.0)</f>
        <v>1597</v>
      </c>
      <c r="C518" s="4">
        <f>IFERROR(__xludf.DUMMYFUNCTION("""COMPUTED_VALUE"""),60.0)</f>
        <v>60</v>
      </c>
      <c r="D518" s="4">
        <f>IFERROR(__xludf.DUMMYFUNCTION("""COMPUTED_VALUE"""),28.0)</f>
        <v>28</v>
      </c>
      <c r="E518" s="4">
        <f>IFERROR(__xludf.DUMMYFUNCTION("""COMPUTED_VALUE"""),0.0)</f>
        <v>0</v>
      </c>
      <c r="F518" s="4">
        <f>IFERROR(__xludf.DUMMYFUNCTION("""COMPUTED_VALUE"""),1.0)</f>
        <v>1</v>
      </c>
      <c r="G518" s="4">
        <f>IFERROR(__xludf.DUMMYFUNCTION("""COMPUTED_VALUE"""),1.0)</f>
        <v>1</v>
      </c>
      <c r="H518" s="4">
        <f>IFERROR(__xludf.DUMMYFUNCTION("""COMPUTED_VALUE"""),0.0)</f>
        <v>0</v>
      </c>
      <c r="I518" s="2" t="str">
        <f>IFERROR(__xludf.DUMMYFUNCTION("""COMPUTED_VALUE"""),"regex")</f>
        <v>regex</v>
      </c>
      <c r="J518" s="2">
        <f t="shared" si="2"/>
        <v>10</v>
      </c>
      <c r="K518" s="2">
        <f t="shared" si="3"/>
        <v>2000</v>
      </c>
      <c r="L518" s="2" t="str">
        <f t="shared" si="4"/>
        <v>P</v>
      </c>
    </row>
    <row r="519">
      <c r="A519" s="2" t="str">
        <f>IFERROR(__xludf.DUMMYFUNCTION("""COMPUTED_VALUE"""),"examples/regex/regexlib/RegexMembership/sat/membership_415")</f>
        <v>examples/regex/regexlib/RegexMembership/sat/membership_415</v>
      </c>
      <c r="B519" s="4">
        <f>IFERROR(__xludf.DUMMYFUNCTION("""COMPUTED_VALUE"""),2251.0)</f>
        <v>2251</v>
      </c>
      <c r="C519" s="4">
        <f>IFERROR(__xludf.DUMMYFUNCTION("""COMPUTED_VALUE"""),60.0)</f>
        <v>60</v>
      </c>
      <c r="D519" s="4">
        <f>IFERROR(__xludf.DUMMYFUNCTION("""COMPUTED_VALUE"""),38.0)</f>
        <v>38</v>
      </c>
      <c r="E519" s="4">
        <f>IFERROR(__xludf.DUMMYFUNCTION("""COMPUTED_VALUE"""),1.0)</f>
        <v>1</v>
      </c>
      <c r="F519" s="4">
        <f>IFERROR(__xludf.DUMMYFUNCTION("""COMPUTED_VALUE"""),1.0)</f>
        <v>1</v>
      </c>
      <c r="G519" s="4">
        <f>IFERROR(__xludf.DUMMYFUNCTION("""COMPUTED_VALUE"""),1.0)</f>
        <v>1</v>
      </c>
      <c r="H519" s="4">
        <f>IFERROR(__xludf.DUMMYFUNCTION("""COMPUTED_VALUE"""),1.0)</f>
        <v>1</v>
      </c>
      <c r="I519" s="2" t="str">
        <f>IFERROR(__xludf.DUMMYFUNCTION("""COMPUTED_VALUE"""),"regex")</f>
        <v>regex</v>
      </c>
      <c r="J519" s="2">
        <f t="shared" si="2"/>
        <v>10</v>
      </c>
      <c r="K519" s="2">
        <f t="shared" si="3"/>
        <v>2000</v>
      </c>
      <c r="L519" s="2" t="str">
        <f t="shared" si="4"/>
        <v>BJP</v>
      </c>
    </row>
    <row r="520">
      <c r="A520" s="2" t="str">
        <f>IFERROR(__xludf.DUMMYFUNCTION("""COMPUTED_VALUE"""),"examples/regex/regexlib/RegexMembership/sat/membership_852")</f>
        <v>examples/regex/regexlib/RegexMembership/sat/membership_852</v>
      </c>
      <c r="B520" s="4">
        <f>IFERROR(__xludf.DUMMYFUNCTION("""COMPUTED_VALUE"""),1010.0)</f>
        <v>1010</v>
      </c>
      <c r="C520" s="4">
        <f>IFERROR(__xludf.DUMMYFUNCTION("""COMPUTED_VALUE"""),60.0)</f>
        <v>60</v>
      </c>
      <c r="D520" s="4">
        <f>IFERROR(__xludf.DUMMYFUNCTION("""COMPUTED_VALUE"""),52.0)</f>
        <v>52</v>
      </c>
      <c r="E520" s="4">
        <f>IFERROR(__xludf.DUMMYFUNCTION("""COMPUTED_VALUE"""),0.0)</f>
        <v>0</v>
      </c>
      <c r="F520" s="4">
        <f>IFERROR(__xludf.DUMMYFUNCTION("""COMPUTED_VALUE"""),1.0)</f>
        <v>1</v>
      </c>
      <c r="G520" s="4">
        <f>IFERROR(__xludf.DUMMYFUNCTION("""COMPUTED_VALUE"""),2.0)</f>
        <v>2</v>
      </c>
      <c r="H520" s="4">
        <f>IFERROR(__xludf.DUMMYFUNCTION("""COMPUTED_VALUE"""),0.0)</f>
        <v>0</v>
      </c>
      <c r="I520" s="2" t="str">
        <f>IFERROR(__xludf.DUMMYFUNCTION("""COMPUTED_VALUE"""),"regex")</f>
        <v>regex</v>
      </c>
      <c r="J520" s="2">
        <f t="shared" si="2"/>
        <v>9</v>
      </c>
      <c r="K520" s="2">
        <f t="shared" si="3"/>
        <v>1000</v>
      </c>
      <c r="L520" s="2" t="str">
        <f t="shared" si="4"/>
        <v>P</v>
      </c>
    </row>
    <row r="521">
      <c r="A521" s="2" t="str">
        <f>IFERROR(__xludf.DUMMYFUNCTION("""COMPUTED_VALUE"""),"examples/regex/regexlib/RegexIntersection/sat/intersect_8_9")</f>
        <v>examples/regex/regexlib/RegexIntersection/sat/intersect_8_9</v>
      </c>
      <c r="B521" s="4">
        <f>IFERROR(__xludf.DUMMYFUNCTION("""COMPUTED_VALUE"""),2641.0)</f>
        <v>2641</v>
      </c>
      <c r="C521" s="4">
        <f>IFERROR(__xludf.DUMMYFUNCTION("""COMPUTED_VALUE"""),60.0)</f>
        <v>60</v>
      </c>
      <c r="D521" s="4">
        <f>IFERROR(__xludf.DUMMYFUNCTION("""COMPUTED_VALUE"""),155.0)</f>
        <v>155</v>
      </c>
      <c r="E521" s="4">
        <f>IFERROR(__xludf.DUMMYFUNCTION("""COMPUTED_VALUE"""),3.0)</f>
        <v>3</v>
      </c>
      <c r="F521" s="4">
        <f>IFERROR(__xludf.DUMMYFUNCTION("""COMPUTED_VALUE"""),4.0)</f>
        <v>4</v>
      </c>
      <c r="G521" s="4">
        <f>IFERROR(__xludf.DUMMYFUNCTION("""COMPUTED_VALUE"""),9.0)</f>
        <v>9</v>
      </c>
      <c r="H521" s="4">
        <f>IFERROR(__xludf.DUMMYFUNCTION("""COMPUTED_VALUE"""),3.0)</f>
        <v>3</v>
      </c>
      <c r="I521" s="2" t="str">
        <f>IFERROR(__xludf.DUMMYFUNCTION("""COMPUTED_VALUE"""),"regex")</f>
        <v>regex</v>
      </c>
      <c r="J521" s="2">
        <f t="shared" si="2"/>
        <v>10</v>
      </c>
      <c r="K521" s="2">
        <f t="shared" si="3"/>
        <v>2000</v>
      </c>
      <c r="L521" s="2" t="str">
        <f t="shared" si="4"/>
        <v>P</v>
      </c>
    </row>
    <row r="522">
      <c r="A522" s="2" t="str">
        <f>IFERROR(__xludf.DUMMYFUNCTION("""COMPUTED_VALUE"""),"examples/regex/regexlib/RegexIntersection/sat/intersect_7_7")</f>
        <v>examples/regex/regexlib/RegexIntersection/sat/intersect_7_7</v>
      </c>
      <c r="B522" s="4">
        <f>IFERROR(__xludf.DUMMYFUNCTION("""COMPUTED_VALUE"""),1043.0)</f>
        <v>1043</v>
      </c>
      <c r="C522" s="4">
        <f>IFERROR(__xludf.DUMMYFUNCTION("""COMPUTED_VALUE"""),60.0)</f>
        <v>60</v>
      </c>
      <c r="D522" s="4">
        <f>IFERROR(__xludf.DUMMYFUNCTION("""COMPUTED_VALUE"""),14.0)</f>
        <v>14</v>
      </c>
      <c r="E522" s="4">
        <f>IFERROR(__xludf.DUMMYFUNCTION("""COMPUTED_VALUE"""),0.0)</f>
        <v>0</v>
      </c>
      <c r="F522" s="4">
        <f>IFERROR(__xludf.DUMMYFUNCTION("""COMPUTED_VALUE"""),1.0)</f>
        <v>1</v>
      </c>
      <c r="G522" s="4">
        <f>IFERROR(__xludf.DUMMYFUNCTION("""COMPUTED_VALUE"""),6.0)</f>
        <v>6</v>
      </c>
      <c r="H522" s="4">
        <f>IFERROR(__xludf.DUMMYFUNCTION("""COMPUTED_VALUE"""),0.0)</f>
        <v>0</v>
      </c>
      <c r="I522" s="2" t="str">
        <f>IFERROR(__xludf.DUMMYFUNCTION("""COMPUTED_VALUE"""),"regex")</f>
        <v>regex</v>
      </c>
      <c r="J522" s="2">
        <f t="shared" si="2"/>
        <v>9</v>
      </c>
      <c r="K522" s="2">
        <f t="shared" si="3"/>
        <v>1000</v>
      </c>
      <c r="L522" s="2" t="str">
        <f t="shared" si="4"/>
        <v>P</v>
      </c>
    </row>
    <row r="523">
      <c r="A523" s="2" t="str">
        <f>IFERROR(__xludf.DUMMYFUNCTION("""COMPUTED_VALUE"""),"examples/regex/regexlib/RegexIntersection/sat/intersect_8_8")</f>
        <v>examples/regex/regexlib/RegexIntersection/sat/intersect_8_8</v>
      </c>
      <c r="B523" s="4">
        <f>IFERROR(__xludf.DUMMYFUNCTION("""COMPUTED_VALUE"""),68019.0)</f>
        <v>68019</v>
      </c>
      <c r="C523" s="4">
        <f>IFERROR(__xludf.DUMMYFUNCTION("""COMPUTED_VALUE"""),60.0)</f>
        <v>60</v>
      </c>
      <c r="D523" s="4">
        <f>IFERROR(__xludf.DUMMYFUNCTION("""COMPUTED_VALUE"""),900.0)</f>
        <v>900</v>
      </c>
      <c r="E523" s="4">
        <f>IFERROR(__xludf.DUMMYFUNCTION("""COMPUTED_VALUE"""),696.0)</f>
        <v>696</v>
      </c>
      <c r="F523" s="4">
        <f>IFERROR(__xludf.DUMMYFUNCTION("""COMPUTED_VALUE"""),703.0)</f>
        <v>703</v>
      </c>
      <c r="G523" s="4">
        <f>IFERROR(__xludf.DUMMYFUNCTION("""COMPUTED_VALUE"""),26.0)</f>
        <v>26</v>
      </c>
      <c r="H523" s="4">
        <f>IFERROR(__xludf.DUMMYFUNCTION("""COMPUTED_VALUE"""),18.0)</f>
        <v>18</v>
      </c>
      <c r="I523" s="2" t="str">
        <f>IFERROR(__xludf.DUMMYFUNCTION("""COMPUTED_VALUE"""),"regex")</f>
        <v>regex</v>
      </c>
      <c r="J523" s="2">
        <f t="shared" si="2"/>
        <v>14</v>
      </c>
      <c r="K523" s="2">
        <f t="shared" si="3"/>
        <v>50000</v>
      </c>
      <c r="L523" s="2" t="str">
        <f t="shared" si="4"/>
        <v>P</v>
      </c>
    </row>
    <row r="524">
      <c r="A524" s="2" t="str">
        <f>IFERROR(__xludf.DUMMYFUNCTION("""COMPUTED_VALUE"""),"examples/regex/regexlib/RegexIntersection/sat/intersect_0_6")</f>
        <v>examples/regex/regexlib/RegexIntersection/sat/intersect_0_6</v>
      </c>
      <c r="B524" s="4">
        <f>IFERROR(__xludf.DUMMYFUNCTION("""COMPUTED_VALUE"""),1544.0)</f>
        <v>1544</v>
      </c>
      <c r="C524" s="4">
        <f>IFERROR(__xludf.DUMMYFUNCTION("""COMPUTED_VALUE"""),60.0)</f>
        <v>60</v>
      </c>
      <c r="D524" s="4">
        <f>IFERROR(__xludf.DUMMYFUNCTION("""COMPUTED_VALUE"""),26.0)</f>
        <v>26</v>
      </c>
      <c r="E524" s="4">
        <f>IFERROR(__xludf.DUMMYFUNCTION("""COMPUTED_VALUE"""),3.0)</f>
        <v>3</v>
      </c>
      <c r="F524" s="4">
        <f>IFERROR(__xludf.DUMMYFUNCTION("""COMPUTED_VALUE"""),1.0)</f>
        <v>1</v>
      </c>
      <c r="G524" s="4">
        <f>IFERROR(__xludf.DUMMYFUNCTION("""COMPUTED_VALUE"""),2.0)</f>
        <v>2</v>
      </c>
      <c r="H524" s="4">
        <f>IFERROR(__xludf.DUMMYFUNCTION("""COMPUTED_VALUE"""),0.0)</f>
        <v>0</v>
      </c>
      <c r="I524" s="2" t="str">
        <f>IFERROR(__xludf.DUMMYFUNCTION("""COMPUTED_VALUE"""),"regex")</f>
        <v>regex</v>
      </c>
      <c r="J524" s="2">
        <f t="shared" si="2"/>
        <v>10</v>
      </c>
      <c r="K524" s="2">
        <f t="shared" si="3"/>
        <v>2000</v>
      </c>
      <c r="L524" s="2" t="str">
        <f t="shared" si="4"/>
        <v>P</v>
      </c>
    </row>
    <row r="525">
      <c r="A525" s="2" t="str">
        <f>IFERROR(__xludf.DUMMYFUNCTION("""COMPUTED_VALUE"""),"examples/regex/regexlib/RegexIntersection/sat/intersect_6_7")</f>
        <v>examples/regex/regexlib/RegexIntersection/sat/intersect_6_7</v>
      </c>
      <c r="B525" s="4">
        <f>IFERROR(__xludf.DUMMYFUNCTION("""COMPUTED_VALUE"""),7849.0)</f>
        <v>7849</v>
      </c>
      <c r="C525" s="4">
        <f>IFERROR(__xludf.DUMMYFUNCTION("""COMPUTED_VALUE"""),60.0)</f>
        <v>60</v>
      </c>
      <c r="D525" s="4">
        <f>IFERROR(__xludf.DUMMYFUNCTION("""COMPUTED_VALUE"""),216.0)</f>
        <v>216</v>
      </c>
      <c r="E525" s="4">
        <f>IFERROR(__xludf.DUMMYFUNCTION("""COMPUTED_VALUE"""),138.0)</f>
        <v>138</v>
      </c>
      <c r="F525" s="4">
        <f>IFERROR(__xludf.DUMMYFUNCTION("""COMPUTED_VALUE"""),140.0)</f>
        <v>140</v>
      </c>
      <c r="G525" s="4">
        <f>IFERROR(__xludf.DUMMYFUNCTION("""COMPUTED_VALUE"""),143.0)</f>
        <v>143</v>
      </c>
      <c r="H525" s="4">
        <f>IFERROR(__xludf.DUMMYFUNCTION("""COMPUTED_VALUE"""),147.0)</f>
        <v>147</v>
      </c>
      <c r="I525" s="2" t="str">
        <f>IFERROR(__xludf.DUMMYFUNCTION("""COMPUTED_VALUE"""),"regex")</f>
        <v>regex</v>
      </c>
      <c r="J525" s="2">
        <f t="shared" si="2"/>
        <v>12</v>
      </c>
      <c r="K525" s="2">
        <f t="shared" si="3"/>
        <v>10000</v>
      </c>
      <c r="L525" s="2" t="str">
        <f t="shared" si="4"/>
        <v>B</v>
      </c>
    </row>
    <row r="526">
      <c r="A526" s="2" t="str">
        <f>IFERROR(__xludf.DUMMYFUNCTION("""COMPUTED_VALUE"""),"examples/regex/regexlib/RegexIntersection/sat/intersect_4_8")</f>
        <v>examples/regex/regexlib/RegexIntersection/sat/intersect_4_8</v>
      </c>
      <c r="B526" s="4">
        <f>IFERROR(__xludf.DUMMYFUNCTION("""COMPUTED_VALUE"""),1069.0)</f>
        <v>1069</v>
      </c>
      <c r="C526" s="4">
        <f>IFERROR(__xludf.DUMMYFUNCTION("""COMPUTED_VALUE"""),60.0)</f>
        <v>60</v>
      </c>
      <c r="D526" s="4">
        <f>IFERROR(__xludf.DUMMYFUNCTION("""COMPUTED_VALUE"""),10.0)</f>
        <v>10</v>
      </c>
      <c r="E526" s="4">
        <f>IFERROR(__xludf.DUMMYFUNCTION("""COMPUTED_VALUE"""),1.0)</f>
        <v>1</v>
      </c>
      <c r="F526" s="4">
        <f>IFERROR(__xludf.DUMMYFUNCTION("""COMPUTED_VALUE"""),1.0)</f>
        <v>1</v>
      </c>
      <c r="G526" s="4">
        <f>IFERROR(__xludf.DUMMYFUNCTION("""COMPUTED_VALUE"""),4.0)</f>
        <v>4</v>
      </c>
      <c r="H526" s="4">
        <f>IFERROR(__xludf.DUMMYFUNCTION("""COMPUTED_VALUE"""),0.0)</f>
        <v>0</v>
      </c>
      <c r="I526" s="2" t="str">
        <f>IFERROR(__xludf.DUMMYFUNCTION("""COMPUTED_VALUE"""),"regex")</f>
        <v>regex</v>
      </c>
      <c r="J526" s="2">
        <f t="shared" si="2"/>
        <v>9</v>
      </c>
      <c r="K526" s="2">
        <f t="shared" si="3"/>
        <v>1000</v>
      </c>
      <c r="L526" s="2" t="str">
        <f t="shared" si="4"/>
        <v>P</v>
      </c>
    </row>
    <row r="527">
      <c r="A527" s="2" t="str">
        <f>IFERROR(__xludf.DUMMYFUNCTION("""COMPUTED_VALUE"""),"examples/regex/regexlib/RegexIntersection/sat/intersect_7_8")</f>
        <v>examples/regex/regexlib/RegexIntersection/sat/intersect_7_8</v>
      </c>
      <c r="B527" s="4">
        <f>IFERROR(__xludf.DUMMYFUNCTION("""COMPUTED_VALUE"""),12604.0)</f>
        <v>12604</v>
      </c>
      <c r="C527" s="4">
        <f>IFERROR(__xludf.DUMMYFUNCTION("""COMPUTED_VALUE"""),60.0)</f>
        <v>60</v>
      </c>
      <c r="D527" s="4">
        <f>IFERROR(__xludf.DUMMYFUNCTION("""COMPUTED_VALUE"""),879.0)</f>
        <v>879</v>
      </c>
      <c r="E527" s="4">
        <f>IFERROR(__xludf.DUMMYFUNCTION("""COMPUTED_VALUE"""),202.0)</f>
        <v>202</v>
      </c>
      <c r="F527" s="4">
        <f>IFERROR(__xludf.DUMMYFUNCTION("""COMPUTED_VALUE"""),40.0)</f>
        <v>40</v>
      </c>
      <c r="G527" s="4">
        <f>IFERROR(__xludf.DUMMYFUNCTION("""COMPUTED_VALUE"""),84.0)</f>
        <v>84</v>
      </c>
      <c r="H527" s="4">
        <f>IFERROR(__xludf.DUMMYFUNCTION("""COMPUTED_VALUE"""),5.0)</f>
        <v>5</v>
      </c>
      <c r="I527" s="2" t="str">
        <f>IFERROR(__xludf.DUMMYFUNCTION("""COMPUTED_VALUE"""),"regex")</f>
        <v>regex</v>
      </c>
      <c r="J527" s="2">
        <f t="shared" si="2"/>
        <v>12</v>
      </c>
      <c r="K527" s="2">
        <f t="shared" si="3"/>
        <v>10000</v>
      </c>
      <c r="L527" s="2" t="str">
        <f t="shared" si="4"/>
        <v>P</v>
      </c>
    </row>
    <row r="528">
      <c r="A528" s="2" t="str">
        <f>IFERROR(__xludf.DUMMYFUNCTION("""COMPUTED_VALUE"""),"examples/regex/regexlib/RegexIntersection/sat/intersect_0_8")</f>
        <v>examples/regex/regexlib/RegexIntersection/sat/intersect_0_8</v>
      </c>
      <c r="B528" s="4">
        <f>IFERROR(__xludf.DUMMYFUNCTION("""COMPUTED_VALUE"""),1925.0)</f>
        <v>1925</v>
      </c>
      <c r="C528" s="4">
        <f>IFERROR(__xludf.DUMMYFUNCTION("""COMPUTED_VALUE"""),60.0)</f>
        <v>60</v>
      </c>
      <c r="D528" s="4">
        <f>IFERROR(__xludf.DUMMYFUNCTION("""COMPUTED_VALUE"""),16.0)</f>
        <v>16</v>
      </c>
      <c r="E528" s="4">
        <f>IFERROR(__xludf.DUMMYFUNCTION("""COMPUTED_VALUE"""),1.0)</f>
        <v>1</v>
      </c>
      <c r="F528" s="4">
        <f>IFERROR(__xludf.DUMMYFUNCTION("""COMPUTED_VALUE"""),1.0)</f>
        <v>1</v>
      </c>
      <c r="G528" s="4">
        <f>IFERROR(__xludf.DUMMYFUNCTION("""COMPUTED_VALUE"""),3.0)</f>
        <v>3</v>
      </c>
      <c r="H528" s="4">
        <f>IFERROR(__xludf.DUMMYFUNCTION("""COMPUTED_VALUE"""),0.0)</f>
        <v>0</v>
      </c>
      <c r="I528" s="2" t="str">
        <f>IFERROR(__xludf.DUMMYFUNCTION("""COMPUTED_VALUE"""),"regex")</f>
        <v>regex</v>
      </c>
      <c r="J528" s="2">
        <f t="shared" si="2"/>
        <v>10</v>
      </c>
      <c r="K528" s="2">
        <f t="shared" si="3"/>
        <v>2000</v>
      </c>
      <c r="L528" s="2" t="str">
        <f t="shared" si="4"/>
        <v>P</v>
      </c>
    </row>
    <row r="529">
      <c r="A529" s="2" t="str">
        <f>IFERROR(__xludf.DUMMYFUNCTION("""COMPUTED_VALUE"""),"examples/regex/regexlib/RegexIntersection/sat/intersect_6_9")</f>
        <v>examples/regex/regexlib/RegexIntersection/sat/intersect_6_9</v>
      </c>
      <c r="B529" s="4">
        <f>IFERROR(__xludf.DUMMYFUNCTION("""COMPUTED_VALUE"""),2004.0)</f>
        <v>2004</v>
      </c>
      <c r="C529" s="4">
        <f>IFERROR(__xludf.DUMMYFUNCTION("""COMPUTED_VALUE"""),60.0)</f>
        <v>60</v>
      </c>
      <c r="D529" s="4">
        <f>IFERROR(__xludf.DUMMYFUNCTION("""COMPUTED_VALUE"""),60.0)</f>
        <v>60</v>
      </c>
      <c r="E529" s="4">
        <f>IFERROR(__xludf.DUMMYFUNCTION("""COMPUTED_VALUE"""),5.0)</f>
        <v>5</v>
      </c>
      <c r="F529" s="4">
        <f>IFERROR(__xludf.DUMMYFUNCTION("""COMPUTED_VALUE"""),3.0)</f>
        <v>3</v>
      </c>
      <c r="G529" s="4">
        <f>IFERROR(__xludf.DUMMYFUNCTION("""COMPUTED_VALUE"""),5.0)</f>
        <v>5</v>
      </c>
      <c r="H529" s="4">
        <f>IFERROR(__xludf.DUMMYFUNCTION("""COMPUTED_VALUE"""),1.0)</f>
        <v>1</v>
      </c>
      <c r="I529" s="2" t="str">
        <f>IFERROR(__xludf.DUMMYFUNCTION("""COMPUTED_VALUE"""),"regex")</f>
        <v>regex</v>
      </c>
      <c r="J529" s="2">
        <f t="shared" si="2"/>
        <v>10</v>
      </c>
      <c r="K529" s="2">
        <f t="shared" si="3"/>
        <v>2000</v>
      </c>
      <c r="L529" s="2" t="str">
        <f t="shared" si="4"/>
        <v>P</v>
      </c>
    </row>
    <row r="530">
      <c r="A530" s="2" t="str">
        <f>IFERROR(__xludf.DUMMYFUNCTION("""COMPUTED_VALUE"""),"examples/regex/regexlib/RegexIntersection/sat/intersect_6_8")</f>
        <v>examples/regex/regexlib/RegexIntersection/sat/intersect_6_8</v>
      </c>
      <c r="B530" s="4">
        <f>IFERROR(__xludf.DUMMYFUNCTION("""COMPUTED_VALUE"""),12535.0)</f>
        <v>12535</v>
      </c>
      <c r="C530" s="4">
        <f>IFERROR(__xludf.DUMMYFUNCTION("""COMPUTED_VALUE"""),60.0)</f>
        <v>60</v>
      </c>
      <c r="D530" s="4">
        <f>IFERROR(__xludf.DUMMYFUNCTION("""COMPUTED_VALUE"""),1806.0)</f>
        <v>1806</v>
      </c>
      <c r="E530" s="4">
        <f>IFERROR(__xludf.DUMMYFUNCTION("""COMPUTED_VALUE"""),308.0)</f>
        <v>308</v>
      </c>
      <c r="F530" s="4">
        <f>IFERROR(__xludf.DUMMYFUNCTION("""COMPUTED_VALUE"""),34.0)</f>
        <v>34</v>
      </c>
      <c r="G530" s="4">
        <f>IFERROR(__xludf.DUMMYFUNCTION("""COMPUTED_VALUE"""),263.0)</f>
        <v>263</v>
      </c>
      <c r="H530" s="4">
        <f>IFERROR(__xludf.DUMMYFUNCTION("""COMPUTED_VALUE"""),10.0)</f>
        <v>10</v>
      </c>
      <c r="I530" s="2" t="str">
        <f>IFERROR(__xludf.DUMMYFUNCTION("""COMPUTED_VALUE"""),"regex")</f>
        <v>regex</v>
      </c>
      <c r="J530" s="2">
        <f t="shared" si="2"/>
        <v>12</v>
      </c>
      <c r="K530" s="2">
        <f t="shared" si="3"/>
        <v>10000</v>
      </c>
      <c r="L530" s="2" t="str">
        <f t="shared" si="4"/>
        <v>P</v>
      </c>
    </row>
    <row r="531">
      <c r="A531" s="2" t="str">
        <f>IFERROR(__xludf.DUMMYFUNCTION("""COMPUTED_VALUE"""),"examples/regex/regexlib/RegexIntersection/unsat/intersect_3_6")</f>
        <v>examples/regex/regexlib/RegexIntersection/unsat/intersect_3_6</v>
      </c>
      <c r="B531" s="4">
        <f>IFERROR(__xludf.DUMMYFUNCTION("""COMPUTED_VALUE"""),918.0)</f>
        <v>918</v>
      </c>
      <c r="C531" s="4">
        <f>IFERROR(__xludf.DUMMYFUNCTION("""COMPUTED_VALUE"""),60.0)</f>
        <v>60</v>
      </c>
      <c r="D531" s="4">
        <f>IFERROR(__xludf.DUMMYFUNCTION("""COMPUTED_VALUE"""),21.0)</f>
        <v>21</v>
      </c>
      <c r="E531" s="4">
        <f>IFERROR(__xludf.DUMMYFUNCTION("""COMPUTED_VALUE"""),3.0)</f>
        <v>3</v>
      </c>
      <c r="F531" s="4">
        <f>IFERROR(__xludf.DUMMYFUNCTION("""COMPUTED_VALUE"""),1.0)</f>
        <v>1</v>
      </c>
      <c r="G531" s="4">
        <f>IFERROR(__xludf.DUMMYFUNCTION("""COMPUTED_VALUE"""),3.0)</f>
        <v>3</v>
      </c>
      <c r="H531" s="4">
        <f>IFERROR(__xludf.DUMMYFUNCTION("""COMPUTED_VALUE"""),0.0)</f>
        <v>0</v>
      </c>
      <c r="I531" s="2" t="str">
        <f>IFERROR(__xludf.DUMMYFUNCTION("""COMPUTED_VALUE"""),"regex")</f>
        <v>regex</v>
      </c>
      <c r="J531" s="2">
        <f t="shared" si="2"/>
        <v>9</v>
      </c>
      <c r="K531" s="2">
        <f t="shared" si="3"/>
        <v>1000</v>
      </c>
      <c r="L531" s="2" t="str">
        <f t="shared" si="4"/>
        <v>P</v>
      </c>
    </row>
    <row r="532">
      <c r="A532" s="2" t="str">
        <f>IFERROR(__xludf.DUMMYFUNCTION("""COMPUTED_VALUE"""),"examples/regex/regexlib/RegexSubset/sat/notsubset_6_8")</f>
        <v>examples/regex/regexlib/RegexSubset/sat/notsubset_6_8</v>
      </c>
      <c r="B532" s="4">
        <f>IFERROR(__xludf.DUMMYFUNCTION("""COMPUTED_VALUE"""),1192.0)</f>
        <v>1192</v>
      </c>
      <c r="C532" s="4">
        <f>IFERROR(__xludf.DUMMYFUNCTION("""COMPUTED_VALUE"""),60.0)</f>
        <v>60</v>
      </c>
      <c r="D532" s="4">
        <f>IFERROR(__xludf.DUMMYFUNCTION("""COMPUTED_VALUE"""),11.0)</f>
        <v>11</v>
      </c>
      <c r="E532" s="4">
        <f>IFERROR(__xludf.DUMMYFUNCTION("""COMPUTED_VALUE"""),0.0)</f>
        <v>0</v>
      </c>
      <c r="F532" s="4">
        <f>IFERROR(__xludf.DUMMYFUNCTION("""COMPUTED_VALUE"""),0.0)</f>
        <v>0</v>
      </c>
      <c r="G532" s="4">
        <f>IFERROR(__xludf.DUMMYFUNCTION("""COMPUTED_VALUE"""),1.0)</f>
        <v>1</v>
      </c>
      <c r="H532" s="4">
        <f>IFERROR(__xludf.DUMMYFUNCTION("""COMPUTED_VALUE"""),0.0)</f>
        <v>0</v>
      </c>
      <c r="I532" s="2" t="str">
        <f>IFERROR(__xludf.DUMMYFUNCTION("""COMPUTED_VALUE"""),"regex")</f>
        <v>regex</v>
      </c>
      <c r="J532" s="2">
        <f t="shared" si="2"/>
        <v>9</v>
      </c>
      <c r="K532" s="2">
        <f t="shared" si="3"/>
        <v>1000</v>
      </c>
      <c r="L532" s="2" t="str">
        <f t="shared" si="4"/>
        <v>BP</v>
      </c>
    </row>
    <row r="533">
      <c r="A533" s="2" t="str">
        <f>IFERROR(__xludf.DUMMYFUNCTION("""COMPUTED_VALUE"""),"examples/regex/regexlib/RegexSubset/sat/notsubset_9_6")</f>
        <v>examples/regex/regexlib/RegexSubset/sat/notsubset_9_6</v>
      </c>
      <c r="B533" s="4">
        <f>IFERROR(__xludf.DUMMYFUNCTION("""COMPUTED_VALUE"""),3203.0)</f>
        <v>3203</v>
      </c>
      <c r="C533" s="4">
        <f>IFERROR(__xludf.DUMMYFUNCTION("""COMPUTED_VALUE"""),60.0)</f>
        <v>60</v>
      </c>
      <c r="D533" s="4">
        <f>IFERROR(__xludf.DUMMYFUNCTION("""COMPUTED_VALUE"""),18.0)</f>
        <v>18</v>
      </c>
      <c r="E533" s="4">
        <f>IFERROR(__xludf.DUMMYFUNCTION("""COMPUTED_VALUE"""),1.0)</f>
        <v>1</v>
      </c>
      <c r="F533" s="4">
        <f>IFERROR(__xludf.DUMMYFUNCTION("""COMPUTED_VALUE"""),1.0)</f>
        <v>1</v>
      </c>
      <c r="G533" s="4">
        <f>IFERROR(__xludf.DUMMYFUNCTION("""COMPUTED_VALUE"""),1.0)</f>
        <v>1</v>
      </c>
      <c r="H533" s="4">
        <f>IFERROR(__xludf.DUMMYFUNCTION("""COMPUTED_VALUE"""),1.0)</f>
        <v>1</v>
      </c>
      <c r="I533" s="2" t="str">
        <f>IFERROR(__xludf.DUMMYFUNCTION("""COMPUTED_VALUE"""),"regex")</f>
        <v>regex</v>
      </c>
      <c r="J533" s="2">
        <f t="shared" si="2"/>
        <v>11</v>
      </c>
      <c r="K533" s="2">
        <f t="shared" si="3"/>
        <v>5000</v>
      </c>
      <c r="L533" s="2" t="str">
        <f t="shared" si="4"/>
        <v>BJP</v>
      </c>
    </row>
    <row r="534">
      <c r="A534" s="2" t="str">
        <f>IFERROR(__xludf.DUMMYFUNCTION("""COMPUTED_VALUE"""),"examples/regex/regexlib/RegexSubset/sat/notsubset_6_9")</f>
        <v>examples/regex/regexlib/RegexSubset/sat/notsubset_6_9</v>
      </c>
      <c r="B534" s="4">
        <f>IFERROR(__xludf.DUMMYFUNCTION("""COMPUTED_VALUE"""),2384.0)</f>
        <v>2384</v>
      </c>
      <c r="C534" s="4">
        <f>IFERROR(__xludf.DUMMYFUNCTION("""COMPUTED_VALUE"""),60.0)</f>
        <v>60</v>
      </c>
      <c r="D534" s="4">
        <f>IFERROR(__xludf.DUMMYFUNCTION("""COMPUTED_VALUE"""),15.0)</f>
        <v>15</v>
      </c>
      <c r="E534" s="4">
        <f>IFERROR(__xludf.DUMMYFUNCTION("""COMPUTED_VALUE"""),0.0)</f>
        <v>0</v>
      </c>
      <c r="F534" s="4">
        <f>IFERROR(__xludf.DUMMYFUNCTION("""COMPUTED_VALUE"""),1.0)</f>
        <v>1</v>
      </c>
      <c r="G534" s="4">
        <f>IFERROR(__xludf.DUMMYFUNCTION("""COMPUTED_VALUE"""),2.0)</f>
        <v>2</v>
      </c>
      <c r="H534" s="4">
        <f>IFERROR(__xludf.DUMMYFUNCTION("""COMPUTED_VALUE"""),0.0)</f>
        <v>0</v>
      </c>
      <c r="I534" s="2" t="str">
        <f>IFERROR(__xludf.DUMMYFUNCTION("""COMPUTED_VALUE"""),"regex")</f>
        <v>regex</v>
      </c>
      <c r="J534" s="2">
        <f t="shared" si="2"/>
        <v>10</v>
      </c>
      <c r="K534" s="2">
        <f t="shared" si="3"/>
        <v>2000</v>
      </c>
      <c r="L534" s="2" t="str">
        <f t="shared" si="4"/>
        <v>P</v>
      </c>
    </row>
    <row r="535">
      <c r="A535" s="2" t="str">
        <f>IFERROR(__xludf.DUMMYFUNCTION("""COMPUTED_VALUE"""),"examples/regex/regexlib/RegexSubset/sat/notsubset_8_6")</f>
        <v>examples/regex/regexlib/RegexSubset/sat/notsubset_8_6</v>
      </c>
      <c r="B535" s="4">
        <f>IFERROR(__xludf.DUMMYFUNCTION("""COMPUTED_VALUE"""),15991.0)</f>
        <v>15991</v>
      </c>
      <c r="C535" s="4">
        <f>IFERROR(__xludf.DUMMYFUNCTION("""COMPUTED_VALUE"""),60.0)</f>
        <v>60</v>
      </c>
      <c r="D535" s="4">
        <f>IFERROR(__xludf.DUMMYFUNCTION("""COMPUTED_VALUE"""),356.0)</f>
        <v>356</v>
      </c>
      <c r="E535" s="4">
        <f>IFERROR(__xludf.DUMMYFUNCTION("""COMPUTED_VALUE"""),5.0)</f>
        <v>5</v>
      </c>
      <c r="F535" s="4">
        <f>IFERROR(__xludf.DUMMYFUNCTION("""COMPUTED_VALUE"""),5.0)</f>
        <v>5</v>
      </c>
      <c r="G535" s="4">
        <f>IFERROR(__xludf.DUMMYFUNCTION("""COMPUTED_VALUE"""),6.0)</f>
        <v>6</v>
      </c>
      <c r="H535" s="4">
        <f>IFERROR(__xludf.DUMMYFUNCTION("""COMPUTED_VALUE"""),5.0)</f>
        <v>5</v>
      </c>
      <c r="I535" s="2" t="str">
        <f>IFERROR(__xludf.DUMMYFUNCTION("""COMPUTED_VALUE"""),"regex")</f>
        <v>regex</v>
      </c>
      <c r="J535" s="2">
        <f t="shared" si="2"/>
        <v>13</v>
      </c>
      <c r="K535" s="2">
        <f t="shared" si="3"/>
        <v>20000</v>
      </c>
      <c r="L535" s="2" t="str">
        <f t="shared" si="4"/>
        <v>BP</v>
      </c>
    </row>
    <row r="536">
      <c r="A536" s="2" t="str">
        <f>IFERROR(__xludf.DUMMYFUNCTION("""COMPUTED_VALUE"""),"examples/regex/regexlib/RegexSubset/sat/notsubset_3_6")</f>
        <v>examples/regex/regexlib/RegexSubset/sat/notsubset_3_6</v>
      </c>
      <c r="B536" s="4">
        <f>IFERROR(__xludf.DUMMYFUNCTION("""COMPUTED_VALUE"""),1453.0)</f>
        <v>1453</v>
      </c>
      <c r="C536" s="4">
        <f>IFERROR(__xludf.DUMMYFUNCTION("""COMPUTED_VALUE"""),60.0)</f>
        <v>60</v>
      </c>
      <c r="D536" s="4">
        <f>IFERROR(__xludf.DUMMYFUNCTION("""COMPUTED_VALUE"""),11.0)</f>
        <v>11</v>
      </c>
      <c r="E536" s="4">
        <f>IFERROR(__xludf.DUMMYFUNCTION("""COMPUTED_VALUE"""),0.0)</f>
        <v>0</v>
      </c>
      <c r="F536" s="4">
        <f>IFERROR(__xludf.DUMMYFUNCTION("""COMPUTED_VALUE"""),0.0)</f>
        <v>0</v>
      </c>
      <c r="G536" s="4">
        <f>IFERROR(__xludf.DUMMYFUNCTION("""COMPUTED_VALUE"""),1.0)</f>
        <v>1</v>
      </c>
      <c r="H536" s="4">
        <f>IFERROR(__xludf.DUMMYFUNCTION("""COMPUTED_VALUE"""),0.0)</f>
        <v>0</v>
      </c>
      <c r="I536" s="2" t="str">
        <f>IFERROR(__xludf.DUMMYFUNCTION("""COMPUTED_VALUE"""),"regex")</f>
        <v>regex</v>
      </c>
      <c r="J536" s="2">
        <f t="shared" si="2"/>
        <v>9</v>
      </c>
      <c r="K536" s="2">
        <f t="shared" si="3"/>
        <v>1000</v>
      </c>
      <c r="L536" s="2" t="str">
        <f t="shared" si="4"/>
        <v>BP</v>
      </c>
    </row>
    <row r="537">
      <c r="A537" s="2" t="str">
        <f>IFERROR(__xludf.DUMMYFUNCTION("""COMPUTED_VALUE"""),"examples/regex/regexlib/RegexSubset/sat/notsubset_7_0")</f>
        <v>examples/regex/regexlib/RegexSubset/sat/notsubset_7_0</v>
      </c>
      <c r="B537" s="4">
        <f>IFERROR(__xludf.DUMMYFUNCTION("""COMPUTED_VALUE"""),1361.0)</f>
        <v>1361</v>
      </c>
      <c r="C537" s="4">
        <f>IFERROR(__xludf.DUMMYFUNCTION("""COMPUTED_VALUE"""),60.0)</f>
        <v>60</v>
      </c>
      <c r="D537" s="4">
        <f>IFERROR(__xludf.DUMMYFUNCTION("""COMPUTED_VALUE"""),22.0)</f>
        <v>22</v>
      </c>
      <c r="E537" s="4">
        <f>IFERROR(__xludf.DUMMYFUNCTION("""COMPUTED_VALUE"""),1.0)</f>
        <v>1</v>
      </c>
      <c r="F537" s="4">
        <f>IFERROR(__xludf.DUMMYFUNCTION("""COMPUTED_VALUE"""),2.0)</f>
        <v>2</v>
      </c>
      <c r="G537" s="4">
        <f>IFERROR(__xludf.DUMMYFUNCTION("""COMPUTED_VALUE"""),4.0)</f>
        <v>4</v>
      </c>
      <c r="H537" s="4">
        <f>IFERROR(__xludf.DUMMYFUNCTION("""COMPUTED_VALUE"""),0.0)</f>
        <v>0</v>
      </c>
      <c r="I537" s="2" t="str">
        <f>IFERROR(__xludf.DUMMYFUNCTION("""COMPUTED_VALUE"""),"regex")</f>
        <v>regex</v>
      </c>
      <c r="J537" s="2">
        <f t="shared" si="2"/>
        <v>9</v>
      </c>
      <c r="K537" s="2">
        <f t="shared" si="3"/>
        <v>1000</v>
      </c>
      <c r="L537" s="2" t="str">
        <f t="shared" si="4"/>
        <v>P</v>
      </c>
    </row>
    <row r="538">
      <c r="A538" s="2" t="str">
        <f>IFERROR(__xludf.DUMMYFUNCTION("""COMPUTED_VALUE"""),"examples/regex/regexlib/RegexSubset/sat/notsubset_8_7")</f>
        <v>examples/regex/regexlib/RegexSubset/sat/notsubset_8_7</v>
      </c>
      <c r="B538" s="4">
        <f>IFERROR(__xludf.DUMMYFUNCTION("""COMPUTED_VALUE"""),17092.0)</f>
        <v>17092</v>
      </c>
      <c r="C538" s="4">
        <f>IFERROR(__xludf.DUMMYFUNCTION("""COMPUTED_VALUE"""),60.0)</f>
        <v>60</v>
      </c>
      <c r="D538" s="4">
        <f>IFERROR(__xludf.DUMMYFUNCTION("""COMPUTED_VALUE"""),300.0)</f>
        <v>300</v>
      </c>
      <c r="E538" s="4">
        <f>IFERROR(__xludf.DUMMYFUNCTION("""COMPUTED_VALUE"""),4.0)</f>
        <v>4</v>
      </c>
      <c r="F538" s="4">
        <f>IFERROR(__xludf.DUMMYFUNCTION("""COMPUTED_VALUE"""),4.0)</f>
        <v>4</v>
      </c>
      <c r="G538" s="4">
        <f>IFERROR(__xludf.DUMMYFUNCTION("""COMPUTED_VALUE"""),5.0)</f>
        <v>5</v>
      </c>
      <c r="H538" s="4">
        <f>IFERROR(__xludf.DUMMYFUNCTION("""COMPUTED_VALUE"""),4.0)</f>
        <v>4</v>
      </c>
      <c r="I538" s="2" t="str">
        <f>IFERROR(__xludf.DUMMYFUNCTION("""COMPUTED_VALUE"""),"regex")</f>
        <v>regex</v>
      </c>
      <c r="J538" s="2">
        <f t="shared" si="2"/>
        <v>13</v>
      </c>
      <c r="K538" s="2">
        <f t="shared" si="3"/>
        <v>20000</v>
      </c>
      <c r="L538" s="2" t="str">
        <f t="shared" si="4"/>
        <v>BP</v>
      </c>
    </row>
    <row r="539">
      <c r="A539" s="2" t="str">
        <f>IFERROR(__xludf.DUMMYFUNCTION("""COMPUTED_VALUE"""),"examples/regex/regexlib/RegexSubset/sat/notsubset_7_9")</f>
        <v>examples/regex/regexlib/RegexSubset/sat/notsubset_7_9</v>
      </c>
      <c r="B539" s="4">
        <f>IFERROR(__xludf.DUMMYFUNCTION("""COMPUTED_VALUE"""),1166.0)</f>
        <v>1166</v>
      </c>
      <c r="C539" s="4">
        <f>IFERROR(__xludf.DUMMYFUNCTION("""COMPUTED_VALUE"""),60.0)</f>
        <v>60</v>
      </c>
      <c r="D539" s="4">
        <f>IFERROR(__xludf.DUMMYFUNCTION("""COMPUTED_VALUE"""),16.0)</f>
        <v>16</v>
      </c>
      <c r="E539" s="4">
        <f>IFERROR(__xludf.DUMMYFUNCTION("""COMPUTED_VALUE"""),0.0)</f>
        <v>0</v>
      </c>
      <c r="F539" s="4">
        <f>IFERROR(__xludf.DUMMYFUNCTION("""COMPUTED_VALUE"""),1.0)</f>
        <v>1</v>
      </c>
      <c r="G539" s="4">
        <f>IFERROR(__xludf.DUMMYFUNCTION("""COMPUTED_VALUE"""),3.0)</f>
        <v>3</v>
      </c>
      <c r="H539" s="4">
        <f>IFERROR(__xludf.DUMMYFUNCTION("""COMPUTED_VALUE"""),0.0)</f>
        <v>0</v>
      </c>
      <c r="I539" s="2" t="str">
        <f>IFERROR(__xludf.DUMMYFUNCTION("""COMPUTED_VALUE"""),"regex")</f>
        <v>regex</v>
      </c>
      <c r="J539" s="2">
        <f t="shared" si="2"/>
        <v>9</v>
      </c>
      <c r="K539" s="2">
        <f t="shared" si="3"/>
        <v>1000</v>
      </c>
      <c r="L539" s="2" t="str">
        <f t="shared" si="4"/>
        <v>P</v>
      </c>
    </row>
    <row r="540">
      <c r="A540" s="2" t="str">
        <f>IFERROR(__xludf.DUMMYFUNCTION("""COMPUTED_VALUE"""),"examples/regex/regexlib/RegexSubset/sat/notsubset_0_6")</f>
        <v>examples/regex/regexlib/RegexSubset/sat/notsubset_0_6</v>
      </c>
      <c r="B540" s="4">
        <f>IFERROR(__xludf.DUMMYFUNCTION("""COMPUTED_VALUE"""),2490.0)</f>
        <v>2490</v>
      </c>
      <c r="C540" s="4">
        <f>IFERROR(__xludf.DUMMYFUNCTION("""COMPUTED_VALUE"""),60.0)</f>
        <v>60</v>
      </c>
      <c r="D540" s="4">
        <f>IFERROR(__xludf.DUMMYFUNCTION("""COMPUTED_VALUE"""),42.0)</f>
        <v>42</v>
      </c>
      <c r="E540" s="4">
        <f>IFERROR(__xludf.DUMMYFUNCTION("""COMPUTED_VALUE"""),1.0)</f>
        <v>1</v>
      </c>
      <c r="F540" s="4">
        <f>IFERROR(__xludf.DUMMYFUNCTION("""COMPUTED_VALUE"""),1.0)</f>
        <v>1</v>
      </c>
      <c r="G540" s="4">
        <f>IFERROR(__xludf.DUMMYFUNCTION("""COMPUTED_VALUE"""),2.0)</f>
        <v>2</v>
      </c>
      <c r="H540" s="4">
        <f>IFERROR(__xludf.DUMMYFUNCTION("""COMPUTED_VALUE"""),1.0)</f>
        <v>1</v>
      </c>
      <c r="I540" s="2" t="str">
        <f>IFERROR(__xludf.DUMMYFUNCTION("""COMPUTED_VALUE"""),"regex")</f>
        <v>regex</v>
      </c>
      <c r="J540" s="2">
        <f t="shared" si="2"/>
        <v>10</v>
      </c>
      <c r="K540" s="2">
        <f t="shared" si="3"/>
        <v>2000</v>
      </c>
      <c r="L540" s="2" t="str">
        <f t="shared" si="4"/>
        <v>BP</v>
      </c>
    </row>
    <row r="541">
      <c r="A541" s="2" t="str">
        <f>IFERROR(__xludf.DUMMYFUNCTION("""COMPUTED_VALUE"""),"examples/regex/regexlib/RegexSubset/sat/notsubset_6_7")</f>
        <v>examples/regex/regexlib/RegexSubset/sat/notsubset_6_7</v>
      </c>
      <c r="B541" s="4">
        <f>IFERROR(__xludf.DUMMYFUNCTION("""COMPUTED_VALUE"""),9587.0)</f>
        <v>9587</v>
      </c>
      <c r="C541" s="4">
        <f>IFERROR(__xludf.DUMMYFUNCTION("""COMPUTED_VALUE"""),60.0)</f>
        <v>60</v>
      </c>
      <c r="D541" s="4">
        <f>IFERROR(__xludf.DUMMYFUNCTION("""COMPUTED_VALUE"""),29.0)</f>
        <v>29</v>
      </c>
      <c r="E541" s="4">
        <f>IFERROR(__xludf.DUMMYFUNCTION("""COMPUTED_VALUE"""),5.0)</f>
        <v>5</v>
      </c>
      <c r="F541" s="4">
        <f>IFERROR(__xludf.DUMMYFUNCTION("""COMPUTED_VALUE"""),6.0)</f>
        <v>6</v>
      </c>
      <c r="G541" s="4">
        <f>IFERROR(__xludf.DUMMYFUNCTION("""COMPUTED_VALUE"""),7.0)</f>
        <v>7</v>
      </c>
      <c r="H541" s="4">
        <f>IFERROR(__xludf.DUMMYFUNCTION("""COMPUTED_VALUE"""),6.0)</f>
        <v>6</v>
      </c>
      <c r="I541" s="2" t="str">
        <f>IFERROR(__xludf.DUMMYFUNCTION("""COMPUTED_VALUE"""),"regex")</f>
        <v>regex</v>
      </c>
      <c r="J541" s="2">
        <f t="shared" si="2"/>
        <v>12</v>
      </c>
      <c r="K541" s="2">
        <f t="shared" si="3"/>
        <v>10000</v>
      </c>
      <c r="L541" s="2" t="str">
        <f t="shared" si="4"/>
        <v>BP</v>
      </c>
    </row>
    <row r="542">
      <c r="A542" s="2" t="str">
        <f>IFERROR(__xludf.DUMMYFUNCTION("""COMPUTED_VALUE"""),"examples/regex/regexlib/RegexSubset/sat/notsubset_7_6")</f>
        <v>examples/regex/regexlib/RegexSubset/sat/notsubset_7_6</v>
      </c>
      <c r="B542" s="4">
        <f>IFERROR(__xludf.DUMMYFUNCTION("""COMPUTED_VALUE"""),15918.0)</f>
        <v>15918</v>
      </c>
      <c r="C542" s="4">
        <f>IFERROR(__xludf.DUMMYFUNCTION("""COMPUTED_VALUE"""),60.0)</f>
        <v>60</v>
      </c>
      <c r="D542" s="4">
        <f>IFERROR(__xludf.DUMMYFUNCTION("""COMPUTED_VALUE"""),345.0)</f>
        <v>345</v>
      </c>
      <c r="E542" s="4">
        <f>IFERROR(__xludf.DUMMYFUNCTION("""COMPUTED_VALUE"""),274.0)</f>
        <v>274</v>
      </c>
      <c r="F542" s="4">
        <f>IFERROR(__xludf.DUMMYFUNCTION("""COMPUTED_VALUE"""),283.0)</f>
        <v>283</v>
      </c>
      <c r="G542" s="4">
        <f>IFERROR(__xludf.DUMMYFUNCTION("""COMPUTED_VALUE"""),290.0)</f>
        <v>290</v>
      </c>
      <c r="H542" s="4">
        <f>IFERROR(__xludf.DUMMYFUNCTION("""COMPUTED_VALUE"""),290.0)</f>
        <v>290</v>
      </c>
      <c r="I542" s="2" t="str">
        <f>IFERROR(__xludf.DUMMYFUNCTION("""COMPUTED_VALUE"""),"regex")</f>
        <v>regex</v>
      </c>
      <c r="J542" s="2">
        <f t="shared" si="2"/>
        <v>13</v>
      </c>
      <c r="K542" s="2">
        <f t="shared" si="3"/>
        <v>20000</v>
      </c>
      <c r="L542" s="2" t="str">
        <f t="shared" si="4"/>
        <v>B</v>
      </c>
    </row>
    <row r="543">
      <c r="A543" s="2" t="str">
        <f>IFERROR(__xludf.DUMMYFUNCTION("""COMPUTED_VALUE"""),"examples/regex/regexlib/RegexSubset/sat/notsubset_8_0")</f>
        <v>examples/regex/regexlib/RegexSubset/sat/notsubset_8_0</v>
      </c>
      <c r="B543" s="4">
        <f>IFERROR(__xludf.DUMMYFUNCTION("""COMPUTED_VALUE"""),1859.0)</f>
        <v>1859</v>
      </c>
      <c r="C543" s="4">
        <f>IFERROR(__xludf.DUMMYFUNCTION("""COMPUTED_VALUE"""),60.0)</f>
        <v>60</v>
      </c>
      <c r="D543" s="4">
        <f>IFERROR(__xludf.DUMMYFUNCTION("""COMPUTED_VALUE"""),20.0)</f>
        <v>20</v>
      </c>
      <c r="E543" s="4">
        <f>IFERROR(__xludf.DUMMYFUNCTION("""COMPUTED_VALUE"""),2.0)</f>
        <v>2</v>
      </c>
      <c r="F543" s="4">
        <f>IFERROR(__xludf.DUMMYFUNCTION("""COMPUTED_VALUE"""),2.0)</f>
        <v>2</v>
      </c>
      <c r="G543" s="4">
        <f>IFERROR(__xludf.DUMMYFUNCTION("""COMPUTED_VALUE"""),2.0)</f>
        <v>2</v>
      </c>
      <c r="H543" s="4">
        <f>IFERROR(__xludf.DUMMYFUNCTION("""COMPUTED_VALUE"""),1.0)</f>
        <v>1</v>
      </c>
      <c r="I543" s="2" t="str">
        <f>IFERROR(__xludf.DUMMYFUNCTION("""COMPUTED_VALUE"""),"regex")</f>
        <v>regex</v>
      </c>
      <c r="J543" s="2">
        <f t="shared" si="2"/>
        <v>10</v>
      </c>
      <c r="K543" s="2">
        <f t="shared" si="3"/>
        <v>2000</v>
      </c>
      <c r="L543" s="2" t="str">
        <f t="shared" si="4"/>
        <v>P</v>
      </c>
    </row>
    <row r="544">
      <c r="A544" s="2" t="str">
        <f>IFERROR(__xludf.DUMMYFUNCTION("""COMPUTED_VALUE"""),"examples/regex/regexlib/RegexSubset/unsat/notsubset_8_8")</f>
        <v>examples/regex/regexlib/RegexSubset/unsat/notsubset_8_8</v>
      </c>
      <c r="B544" s="4">
        <f>IFERROR(__xludf.DUMMYFUNCTION("""COMPUTED_VALUE"""),24136.0)</f>
        <v>24136</v>
      </c>
      <c r="C544" s="4">
        <f>IFERROR(__xludf.DUMMYFUNCTION("""COMPUTED_VALUE"""),60.0)</f>
        <v>60</v>
      </c>
      <c r="D544" s="4">
        <f>IFERROR(__xludf.DUMMYFUNCTION("""COMPUTED_VALUE"""),54188.0)</f>
        <v>54188</v>
      </c>
      <c r="E544" s="4">
        <f>IFERROR(__xludf.DUMMYFUNCTION("""COMPUTED_VALUE"""),1155.0)</f>
        <v>1155</v>
      </c>
      <c r="F544" s="4">
        <f>IFERROR(__xludf.DUMMYFUNCTION("""COMPUTED_VALUE"""),1433.0)</f>
        <v>1433</v>
      </c>
      <c r="G544" s="4">
        <f>IFERROR(__xludf.DUMMYFUNCTION("""COMPUTED_VALUE"""),140.0)</f>
        <v>140</v>
      </c>
      <c r="H544" s="4">
        <f>IFERROR(__xludf.DUMMYFUNCTION("""COMPUTED_VALUE"""),13.0)</f>
        <v>13</v>
      </c>
      <c r="I544" s="2" t="str">
        <f>IFERROR(__xludf.DUMMYFUNCTION("""COMPUTED_VALUE"""),"regex")</f>
        <v>regex</v>
      </c>
      <c r="J544" s="2">
        <f t="shared" si="2"/>
        <v>13</v>
      </c>
      <c r="K544" s="2">
        <f t="shared" si="3"/>
        <v>20000</v>
      </c>
      <c r="L544" s="2" t="str">
        <f t="shared" si="4"/>
        <v>P</v>
      </c>
    </row>
    <row r="545">
      <c r="A545" s="2" t="str">
        <f>IFERROR(__xludf.DUMMYFUNCTION("""COMPUTED_VALUE"""),"examples/regex/regexlib/RegexSubset/unsat/notsubset_7_7")</f>
        <v>examples/regex/regexlib/RegexSubset/unsat/notsubset_7_7</v>
      </c>
      <c r="B545" s="4">
        <f>IFERROR(__xludf.DUMMYFUNCTION("""COMPUTED_VALUE"""),626.0)</f>
        <v>626</v>
      </c>
      <c r="C545" s="4">
        <f>IFERROR(__xludf.DUMMYFUNCTION("""COMPUTED_VALUE"""),60.0)</f>
        <v>60</v>
      </c>
      <c r="D545" s="4">
        <f>IFERROR(__xludf.DUMMYFUNCTION("""COMPUTED_VALUE"""),30.0)</f>
        <v>30</v>
      </c>
      <c r="E545" s="4">
        <f>IFERROR(__xludf.DUMMYFUNCTION("""COMPUTED_VALUE"""),0.0)</f>
        <v>0</v>
      </c>
      <c r="F545" s="4">
        <f>IFERROR(__xludf.DUMMYFUNCTION("""COMPUTED_VALUE"""),1.0)</f>
        <v>1</v>
      </c>
      <c r="G545" s="4">
        <f>IFERROR(__xludf.DUMMYFUNCTION("""COMPUTED_VALUE"""),3.0)</f>
        <v>3</v>
      </c>
      <c r="H545" s="4">
        <f>IFERROR(__xludf.DUMMYFUNCTION("""COMPUTED_VALUE"""),0.0)</f>
        <v>0</v>
      </c>
      <c r="I545" s="2" t="str">
        <f>IFERROR(__xludf.DUMMYFUNCTION("""COMPUTED_VALUE"""),"regex")</f>
        <v>regex</v>
      </c>
      <c r="J545" s="2">
        <f t="shared" si="2"/>
        <v>8</v>
      </c>
      <c r="K545" s="2">
        <f t="shared" si="3"/>
        <v>500</v>
      </c>
      <c r="L545" s="2" t="str">
        <f t="shared" si="4"/>
        <v>P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2940</v>
      </c>
      <c r="B1" s="1" t="s">
        <v>2941</v>
      </c>
      <c r="C1" s="1" t="s">
        <v>2942</v>
      </c>
      <c r="D1" s="1" t="s">
        <v>2943</v>
      </c>
      <c r="E1" s="1" t="s">
        <v>2944</v>
      </c>
      <c r="F1" s="1" t="s">
        <v>2945</v>
      </c>
      <c r="G1" s="1" t="s">
        <v>2946</v>
      </c>
      <c r="I1" s="1" t="s">
        <v>2941</v>
      </c>
      <c r="J1" s="1" t="s">
        <v>2942</v>
      </c>
      <c r="K1" s="1" t="s">
        <v>2943</v>
      </c>
      <c r="L1" s="1" t="s">
        <v>2944</v>
      </c>
      <c r="M1" s="1" t="s">
        <v>2945</v>
      </c>
      <c r="N1" s="1" t="s">
        <v>2946</v>
      </c>
    </row>
    <row r="2">
      <c r="A2" s="1">
        <v>0.0</v>
      </c>
      <c r="B2" s="2">
        <f t="shared" ref="B2:B97" si="1">10^(0.05*A2)</f>
        <v>1</v>
      </c>
      <c r="C2" s="2">
        <f>COUNTIF(plots1!D:D, "&lt;" &amp; $B2)</f>
        <v>0</v>
      </c>
      <c r="D2" s="2">
        <f>COUNTIF(plots1!E:E, "&lt;" &amp; $B2)</f>
        <v>48</v>
      </c>
      <c r="E2" s="2">
        <f>COUNTIF(plots1!F:F, "&lt;" &amp; $B2)</f>
        <v>41</v>
      </c>
      <c r="F2" s="2">
        <f>COUNTIF(plots1!G:G, "&lt;" &amp; $B2)</f>
        <v>28</v>
      </c>
      <c r="G2" s="2">
        <f>COUNTIF(plots1!H:H, "&lt;" &amp; $B2)</f>
        <v>125</v>
      </c>
      <c r="I2" s="2">
        <f t="shared" ref="I2:I97" si="2">B2</f>
        <v>1</v>
      </c>
      <c r="J2" s="2">
        <f>COUNTIFS(plots1!D:D, "&lt;" &amp; $B2, plots1!$I:$I, $O$20)</f>
        <v>0</v>
      </c>
      <c r="K2" s="2">
        <f>COUNTIFS(plots1!E:E, "&lt;" &amp; $B2, plots1!$I:$I, $O$20)</f>
        <v>4</v>
      </c>
      <c r="L2" s="2">
        <f>COUNTIFS(plots1!F:F, "&lt;" &amp; $B2, plots1!$I:$I, $O$20)</f>
        <v>6</v>
      </c>
      <c r="M2" s="2">
        <f>COUNTIFS(plots1!G:G, "&lt;" &amp; $B2, plots1!$I:$I, $O$20)</f>
        <v>0</v>
      </c>
      <c r="N2" s="2">
        <f>COUNTIFS(plots1!H:H, "&lt;" &amp; $B2, plots1!$I:$I, $O$20)</f>
        <v>6</v>
      </c>
    </row>
    <row r="3">
      <c r="A3" s="1">
        <v>1.0</v>
      </c>
      <c r="B3" s="2">
        <f t="shared" si="1"/>
        <v>1.122018454</v>
      </c>
      <c r="C3" s="2">
        <f>COUNTIF(plots1!D:D, "&lt;" &amp; $B3)</f>
        <v>1</v>
      </c>
      <c r="D3" s="2">
        <f>COUNTIF(plots1!E:E, "&lt;" &amp; $B3)</f>
        <v>91</v>
      </c>
      <c r="E3" s="2">
        <f>COUNTIF(plots1!F:F, "&lt;" &amp; $B3)</f>
        <v>77</v>
      </c>
      <c r="F3" s="2">
        <f>COUNTIF(plots1!G:G, "&lt;" &amp; $B3)</f>
        <v>42</v>
      </c>
      <c r="G3" s="2">
        <f>COUNTIF(plots1!H:H, "&lt;" &amp; $B3)</f>
        <v>177</v>
      </c>
      <c r="I3" s="2">
        <f t="shared" si="2"/>
        <v>1.122018454</v>
      </c>
      <c r="J3" s="2">
        <f>COUNTIFS(plots1!D:D, "&lt;" &amp; $B3, plots1!$I:$I, $O$20)</f>
        <v>1</v>
      </c>
      <c r="K3" s="2">
        <f>COUNTIFS(plots1!E:E, "&lt;" &amp; $B3, plots1!$I:$I, $O$20)</f>
        <v>9</v>
      </c>
      <c r="L3" s="2">
        <f>COUNTIFS(plots1!F:F, "&lt;" &amp; $B3, plots1!$I:$I, $O$20)</f>
        <v>12</v>
      </c>
      <c r="M3" s="2">
        <f>COUNTIFS(plots1!G:G, "&lt;" &amp; $B3, plots1!$I:$I, $O$20)</f>
        <v>3</v>
      </c>
      <c r="N3" s="2">
        <f>COUNTIFS(plots1!H:H, "&lt;" &amp; $B3, plots1!$I:$I, $O$20)</f>
        <v>19</v>
      </c>
    </row>
    <row r="4">
      <c r="A4" s="1">
        <v>2.0</v>
      </c>
      <c r="B4" s="2">
        <f t="shared" si="1"/>
        <v>1.258925412</v>
      </c>
      <c r="C4" s="2">
        <f>COUNTIF(plots1!D:D, "&lt;" &amp; $B4)</f>
        <v>1</v>
      </c>
      <c r="D4" s="2">
        <f>COUNTIF(plots1!E:E, "&lt;" &amp; $B4)</f>
        <v>91</v>
      </c>
      <c r="E4" s="2">
        <f>COUNTIF(plots1!F:F, "&lt;" &amp; $B4)</f>
        <v>77</v>
      </c>
      <c r="F4" s="2">
        <f>COUNTIF(plots1!G:G, "&lt;" &amp; $B4)</f>
        <v>42</v>
      </c>
      <c r="G4" s="2">
        <f>COUNTIF(plots1!H:H, "&lt;" &amp; $B4)</f>
        <v>177</v>
      </c>
      <c r="I4" s="2">
        <f t="shared" si="2"/>
        <v>1.258925412</v>
      </c>
      <c r="J4" s="2">
        <f>COUNTIFS(plots1!D:D, "&lt;" &amp; $B4, plots1!$I:$I, $O$20)</f>
        <v>1</v>
      </c>
      <c r="K4" s="2">
        <f>COUNTIFS(plots1!E:E, "&lt;" &amp; $B4, plots1!$I:$I, $O$20)</f>
        <v>9</v>
      </c>
      <c r="L4" s="2">
        <f>COUNTIFS(plots1!F:F, "&lt;" &amp; $B4, plots1!$I:$I, $O$20)</f>
        <v>12</v>
      </c>
      <c r="M4" s="2">
        <f>COUNTIFS(plots1!G:G, "&lt;" &amp; $B4, plots1!$I:$I, $O$20)</f>
        <v>3</v>
      </c>
      <c r="N4" s="2">
        <f>COUNTIFS(plots1!H:H, "&lt;" &amp; $B4, plots1!$I:$I, $O$20)</f>
        <v>19</v>
      </c>
    </row>
    <row r="5">
      <c r="A5" s="1">
        <v>3.0</v>
      </c>
      <c r="B5" s="2">
        <f t="shared" si="1"/>
        <v>1.412537545</v>
      </c>
      <c r="C5" s="2">
        <f>COUNTIF(plots1!D:D, "&lt;" &amp; $B5)</f>
        <v>1</v>
      </c>
      <c r="D5" s="2">
        <f>COUNTIF(plots1!E:E, "&lt;" &amp; $B5)</f>
        <v>91</v>
      </c>
      <c r="E5" s="2">
        <f>COUNTIF(plots1!F:F, "&lt;" &amp; $B5)</f>
        <v>77</v>
      </c>
      <c r="F5" s="2">
        <f>COUNTIF(plots1!G:G, "&lt;" &amp; $B5)</f>
        <v>42</v>
      </c>
      <c r="G5" s="2">
        <f>COUNTIF(plots1!H:H, "&lt;" &amp; $B5)</f>
        <v>177</v>
      </c>
      <c r="I5" s="2">
        <f t="shared" si="2"/>
        <v>1.412537545</v>
      </c>
      <c r="J5" s="2">
        <f>COUNTIFS(plots1!D:D, "&lt;" &amp; $B5, plots1!$I:$I, $O$20)</f>
        <v>1</v>
      </c>
      <c r="K5" s="2">
        <f>COUNTIFS(plots1!E:E, "&lt;" &amp; $B5, plots1!$I:$I, $O$20)</f>
        <v>9</v>
      </c>
      <c r="L5" s="2">
        <f>COUNTIFS(plots1!F:F, "&lt;" &amp; $B5, plots1!$I:$I, $O$20)</f>
        <v>12</v>
      </c>
      <c r="M5" s="2">
        <f>COUNTIFS(plots1!G:G, "&lt;" &amp; $B5, plots1!$I:$I, $O$20)</f>
        <v>3</v>
      </c>
      <c r="N5" s="2">
        <f>COUNTIFS(plots1!H:H, "&lt;" &amp; $B5, plots1!$I:$I, $O$20)</f>
        <v>19</v>
      </c>
    </row>
    <row r="6">
      <c r="A6" s="1">
        <v>4.0</v>
      </c>
      <c r="B6" s="2">
        <f t="shared" si="1"/>
        <v>1.584893192</v>
      </c>
      <c r="C6" s="2">
        <f>COUNTIF(plots1!D:D, "&lt;" &amp; $B6)</f>
        <v>1</v>
      </c>
      <c r="D6" s="2">
        <f>COUNTIF(plots1!E:E, "&lt;" &amp; $B6)</f>
        <v>91</v>
      </c>
      <c r="E6" s="2">
        <f>COUNTIF(plots1!F:F, "&lt;" &amp; $B6)</f>
        <v>77</v>
      </c>
      <c r="F6" s="2">
        <f>COUNTIF(plots1!G:G, "&lt;" &amp; $B6)</f>
        <v>42</v>
      </c>
      <c r="G6" s="2">
        <f>COUNTIF(plots1!H:H, "&lt;" &amp; $B6)</f>
        <v>177</v>
      </c>
      <c r="I6" s="2">
        <f t="shared" si="2"/>
        <v>1.584893192</v>
      </c>
      <c r="J6" s="2">
        <f>COUNTIFS(plots1!D:D, "&lt;" &amp; $B6, plots1!$I:$I, $O$20)</f>
        <v>1</v>
      </c>
      <c r="K6" s="2">
        <f>COUNTIFS(plots1!E:E, "&lt;" &amp; $B6, plots1!$I:$I, $O$20)</f>
        <v>9</v>
      </c>
      <c r="L6" s="2">
        <f>COUNTIFS(plots1!F:F, "&lt;" &amp; $B6, plots1!$I:$I, $O$20)</f>
        <v>12</v>
      </c>
      <c r="M6" s="2">
        <f>COUNTIFS(plots1!G:G, "&lt;" &amp; $B6, plots1!$I:$I, $O$20)</f>
        <v>3</v>
      </c>
      <c r="N6" s="2">
        <f>COUNTIFS(plots1!H:H, "&lt;" &amp; $B6, plots1!$I:$I, $O$20)</f>
        <v>19</v>
      </c>
    </row>
    <row r="7">
      <c r="A7" s="1">
        <v>5.0</v>
      </c>
      <c r="B7" s="2">
        <f t="shared" si="1"/>
        <v>1.77827941</v>
      </c>
      <c r="C7" s="2">
        <f>COUNTIF(plots1!D:D, "&lt;" &amp; $B7)</f>
        <v>1</v>
      </c>
      <c r="D7" s="2">
        <f>COUNTIF(plots1!E:E, "&lt;" &amp; $B7)</f>
        <v>91</v>
      </c>
      <c r="E7" s="2">
        <f>COUNTIF(plots1!F:F, "&lt;" &amp; $B7)</f>
        <v>77</v>
      </c>
      <c r="F7" s="2">
        <f>COUNTIF(plots1!G:G, "&lt;" &amp; $B7)</f>
        <v>42</v>
      </c>
      <c r="G7" s="2">
        <f>COUNTIF(plots1!H:H, "&lt;" &amp; $B7)</f>
        <v>177</v>
      </c>
      <c r="I7" s="2">
        <f t="shared" si="2"/>
        <v>1.77827941</v>
      </c>
      <c r="J7" s="2">
        <f>COUNTIFS(plots1!D:D, "&lt;" &amp; $B7, plots1!$I:$I, $O$20)</f>
        <v>1</v>
      </c>
      <c r="K7" s="2">
        <f>COUNTIFS(plots1!E:E, "&lt;" &amp; $B7, plots1!$I:$I, $O$20)</f>
        <v>9</v>
      </c>
      <c r="L7" s="2">
        <f>COUNTIFS(plots1!F:F, "&lt;" &amp; $B7, plots1!$I:$I, $O$20)</f>
        <v>12</v>
      </c>
      <c r="M7" s="2">
        <f>COUNTIFS(plots1!G:G, "&lt;" &amp; $B7, plots1!$I:$I, $O$20)</f>
        <v>3</v>
      </c>
      <c r="N7" s="2">
        <f>COUNTIFS(plots1!H:H, "&lt;" &amp; $B7, plots1!$I:$I, $O$20)</f>
        <v>19</v>
      </c>
    </row>
    <row r="8">
      <c r="A8" s="1">
        <v>6.0</v>
      </c>
      <c r="B8" s="2">
        <f t="shared" si="1"/>
        <v>1.995262315</v>
      </c>
      <c r="C8" s="2">
        <f>COUNTIF(plots1!D:D, "&lt;" &amp; $B8)</f>
        <v>1</v>
      </c>
      <c r="D8" s="2">
        <f>COUNTIF(plots1!E:E, "&lt;" &amp; $B8)</f>
        <v>91</v>
      </c>
      <c r="E8" s="2">
        <f>COUNTIF(plots1!F:F, "&lt;" &amp; $B8)</f>
        <v>77</v>
      </c>
      <c r="F8" s="2">
        <f>COUNTIF(plots1!G:G, "&lt;" &amp; $B8)</f>
        <v>42</v>
      </c>
      <c r="G8" s="2">
        <f>COUNTIF(plots1!H:H, "&lt;" &amp; $B8)</f>
        <v>177</v>
      </c>
      <c r="I8" s="2">
        <f t="shared" si="2"/>
        <v>1.995262315</v>
      </c>
      <c r="J8" s="2">
        <f>COUNTIFS(plots1!D:D, "&lt;" &amp; $B8, plots1!$I:$I, $O$20)</f>
        <v>1</v>
      </c>
      <c r="K8" s="2">
        <f>COUNTIFS(plots1!E:E, "&lt;" &amp; $B8, plots1!$I:$I, $O$20)</f>
        <v>9</v>
      </c>
      <c r="L8" s="2">
        <f>COUNTIFS(plots1!F:F, "&lt;" &amp; $B8, plots1!$I:$I, $O$20)</f>
        <v>12</v>
      </c>
      <c r="M8" s="2">
        <f>COUNTIFS(plots1!G:G, "&lt;" &amp; $B8, plots1!$I:$I, $O$20)</f>
        <v>3</v>
      </c>
      <c r="N8" s="2">
        <f>COUNTIFS(plots1!H:H, "&lt;" &amp; $B8, plots1!$I:$I, $O$20)</f>
        <v>19</v>
      </c>
    </row>
    <row r="9">
      <c r="A9" s="1">
        <v>7.0</v>
      </c>
      <c r="B9" s="2">
        <f t="shared" si="1"/>
        <v>2.238721139</v>
      </c>
      <c r="C9" s="2">
        <f>COUNTIF(plots1!D:D, "&lt;" &amp; $B9)</f>
        <v>1</v>
      </c>
      <c r="D9" s="2">
        <f>COUNTIF(plots1!E:E, "&lt;" &amp; $B9)</f>
        <v>109</v>
      </c>
      <c r="E9" s="2">
        <f>COUNTIF(plots1!F:F, "&lt;" &amp; $B9)</f>
        <v>101</v>
      </c>
      <c r="F9" s="2">
        <f>COUNTIF(plots1!G:G, "&lt;" &amp; $B9)</f>
        <v>114</v>
      </c>
      <c r="G9" s="2">
        <f>COUNTIF(plots1!H:H, "&lt;" &amp; $B9)</f>
        <v>199</v>
      </c>
      <c r="I9" s="2">
        <f t="shared" si="2"/>
        <v>2.238721139</v>
      </c>
      <c r="J9" s="2">
        <f>COUNTIFS(plots1!D:D, "&lt;" &amp; $B9, plots1!$I:$I, $O$20)</f>
        <v>1</v>
      </c>
      <c r="K9" s="2">
        <f>COUNTIFS(plots1!E:E, "&lt;" &amp; $B9, plots1!$I:$I, $O$20)</f>
        <v>12</v>
      </c>
      <c r="L9" s="2">
        <f>COUNTIFS(plots1!F:F, "&lt;" &amp; $B9, plots1!$I:$I, $O$20)</f>
        <v>12</v>
      </c>
      <c r="M9" s="2">
        <f>COUNTIFS(plots1!G:G, "&lt;" &amp; $B9, plots1!$I:$I, $O$20)</f>
        <v>4</v>
      </c>
      <c r="N9" s="2">
        <f>COUNTIFS(plots1!H:H, "&lt;" &amp; $B9, plots1!$I:$I, $O$20)</f>
        <v>23</v>
      </c>
    </row>
    <row r="10">
      <c r="A10" s="1">
        <v>8.0</v>
      </c>
      <c r="B10" s="2">
        <f t="shared" si="1"/>
        <v>2.511886432</v>
      </c>
      <c r="C10" s="2">
        <f>COUNTIF(plots1!D:D, "&lt;" &amp; $B10)</f>
        <v>1</v>
      </c>
      <c r="D10" s="2">
        <f>COUNTIF(plots1!E:E, "&lt;" &amp; $B10)</f>
        <v>109</v>
      </c>
      <c r="E10" s="2">
        <f>COUNTIF(plots1!F:F, "&lt;" &amp; $B10)</f>
        <v>101</v>
      </c>
      <c r="F10" s="2">
        <f>COUNTIF(plots1!G:G, "&lt;" &amp; $B10)</f>
        <v>114</v>
      </c>
      <c r="G10" s="2">
        <f>COUNTIF(plots1!H:H, "&lt;" &amp; $B10)</f>
        <v>199</v>
      </c>
      <c r="I10" s="2">
        <f t="shared" si="2"/>
        <v>2.511886432</v>
      </c>
      <c r="J10" s="2">
        <f>COUNTIFS(plots1!D:D, "&lt;" &amp; $B10, plots1!$I:$I, $O$20)</f>
        <v>1</v>
      </c>
      <c r="K10" s="2">
        <f>COUNTIFS(plots1!E:E, "&lt;" &amp; $B10, plots1!$I:$I, $O$20)</f>
        <v>12</v>
      </c>
      <c r="L10" s="2">
        <f>COUNTIFS(plots1!F:F, "&lt;" &amp; $B10, plots1!$I:$I, $O$20)</f>
        <v>12</v>
      </c>
      <c r="M10" s="2">
        <f>COUNTIFS(plots1!G:G, "&lt;" &amp; $B10, plots1!$I:$I, $O$20)</f>
        <v>4</v>
      </c>
      <c r="N10" s="2">
        <f>COUNTIFS(plots1!H:H, "&lt;" &amp; $B10, plots1!$I:$I, $O$20)</f>
        <v>23</v>
      </c>
    </row>
    <row r="11">
      <c r="A11" s="1">
        <v>9.0</v>
      </c>
      <c r="B11" s="2">
        <f t="shared" si="1"/>
        <v>2.818382931</v>
      </c>
      <c r="C11" s="2">
        <f>COUNTIF(plots1!D:D, "&lt;" &amp; $B11)</f>
        <v>1</v>
      </c>
      <c r="D11" s="2">
        <f>COUNTIF(plots1!E:E, "&lt;" &amp; $B11)</f>
        <v>109</v>
      </c>
      <c r="E11" s="2">
        <f>COUNTIF(plots1!F:F, "&lt;" &amp; $B11)</f>
        <v>101</v>
      </c>
      <c r="F11" s="2">
        <f>COUNTIF(plots1!G:G, "&lt;" &amp; $B11)</f>
        <v>114</v>
      </c>
      <c r="G11" s="2">
        <f>COUNTIF(plots1!H:H, "&lt;" &amp; $B11)</f>
        <v>199</v>
      </c>
      <c r="I11" s="2">
        <f t="shared" si="2"/>
        <v>2.818382931</v>
      </c>
      <c r="J11" s="2">
        <f>COUNTIFS(plots1!D:D, "&lt;" &amp; $B11, plots1!$I:$I, $O$20)</f>
        <v>1</v>
      </c>
      <c r="K11" s="2">
        <f>COUNTIFS(plots1!E:E, "&lt;" &amp; $B11, plots1!$I:$I, $O$20)</f>
        <v>12</v>
      </c>
      <c r="L11" s="2">
        <f>COUNTIFS(plots1!F:F, "&lt;" &amp; $B11, plots1!$I:$I, $O$20)</f>
        <v>12</v>
      </c>
      <c r="M11" s="2">
        <f>COUNTIFS(plots1!G:G, "&lt;" &amp; $B11, plots1!$I:$I, $O$20)</f>
        <v>4</v>
      </c>
      <c r="N11" s="2">
        <f>COUNTIFS(plots1!H:H, "&lt;" &amp; $B11, plots1!$I:$I, $O$20)</f>
        <v>23</v>
      </c>
    </row>
    <row r="12">
      <c r="A12" s="1">
        <v>10.0</v>
      </c>
      <c r="B12" s="2">
        <f t="shared" si="1"/>
        <v>3.16227766</v>
      </c>
      <c r="C12" s="2">
        <f>COUNTIF(plots1!D:D, "&lt;" &amp; $B12)</f>
        <v>1</v>
      </c>
      <c r="D12" s="2">
        <f>COUNTIF(plots1!E:E, "&lt;" &amp; $B12)</f>
        <v>129</v>
      </c>
      <c r="E12" s="2">
        <f>COUNTIF(plots1!F:F, "&lt;" &amp; $B12)</f>
        <v>109</v>
      </c>
      <c r="F12" s="2">
        <f>COUNTIF(plots1!G:G, "&lt;" &amp; $B12)</f>
        <v>125</v>
      </c>
      <c r="G12" s="2">
        <f>COUNTIF(plots1!H:H, "&lt;" &amp; $B12)</f>
        <v>213</v>
      </c>
      <c r="I12" s="2">
        <f t="shared" si="2"/>
        <v>3.16227766</v>
      </c>
      <c r="J12" s="2">
        <f>COUNTIFS(plots1!D:D, "&lt;" &amp; $B12, plots1!$I:$I, $O$20)</f>
        <v>1</v>
      </c>
      <c r="K12" s="2">
        <f>COUNTIFS(plots1!E:E, "&lt;" &amp; $B12, plots1!$I:$I, $O$20)</f>
        <v>13</v>
      </c>
      <c r="L12" s="2">
        <f>COUNTIFS(plots1!F:F, "&lt;" &amp; $B12, plots1!$I:$I, $O$20)</f>
        <v>17</v>
      </c>
      <c r="M12" s="2">
        <f>COUNTIFS(plots1!G:G, "&lt;" &amp; $B12, plots1!$I:$I, $O$20)</f>
        <v>6</v>
      </c>
      <c r="N12" s="2">
        <f>COUNTIFS(plots1!H:H, "&lt;" &amp; $B12, plots1!$I:$I, $O$20)</f>
        <v>26</v>
      </c>
    </row>
    <row r="13">
      <c r="A13" s="1">
        <v>11.0</v>
      </c>
      <c r="B13" s="2">
        <f t="shared" si="1"/>
        <v>3.548133892</v>
      </c>
      <c r="C13" s="2">
        <f>COUNTIF(plots1!D:D, "&lt;" &amp; $B13)</f>
        <v>1</v>
      </c>
      <c r="D13" s="2">
        <f>COUNTIF(plots1!E:E, "&lt;" &amp; $B13)</f>
        <v>129</v>
      </c>
      <c r="E13" s="2">
        <f>COUNTIF(plots1!F:F, "&lt;" &amp; $B13)</f>
        <v>109</v>
      </c>
      <c r="F13" s="2">
        <f>COUNTIF(plots1!G:G, "&lt;" &amp; $B13)</f>
        <v>125</v>
      </c>
      <c r="G13" s="2">
        <f>COUNTIF(plots1!H:H, "&lt;" &amp; $B13)</f>
        <v>213</v>
      </c>
      <c r="I13" s="2">
        <f t="shared" si="2"/>
        <v>3.548133892</v>
      </c>
      <c r="J13" s="2">
        <f>COUNTIFS(plots1!D:D, "&lt;" &amp; $B13, plots1!$I:$I, $O$20)</f>
        <v>1</v>
      </c>
      <c r="K13" s="2">
        <f>COUNTIFS(plots1!E:E, "&lt;" &amp; $B13, plots1!$I:$I, $O$20)</f>
        <v>13</v>
      </c>
      <c r="L13" s="2">
        <f>COUNTIFS(plots1!F:F, "&lt;" &amp; $B13, plots1!$I:$I, $O$20)</f>
        <v>17</v>
      </c>
      <c r="M13" s="2">
        <f>COUNTIFS(plots1!G:G, "&lt;" &amp; $B13, plots1!$I:$I, $O$20)</f>
        <v>6</v>
      </c>
      <c r="N13" s="2">
        <f>COUNTIFS(plots1!H:H, "&lt;" &amp; $B13, plots1!$I:$I, $O$20)</f>
        <v>26</v>
      </c>
    </row>
    <row r="14">
      <c r="A14" s="1">
        <v>12.0</v>
      </c>
      <c r="B14" s="2">
        <f t="shared" si="1"/>
        <v>3.981071706</v>
      </c>
      <c r="C14" s="2">
        <f>COUNTIF(plots1!D:D, "&lt;" &amp; $B14)</f>
        <v>1</v>
      </c>
      <c r="D14" s="2">
        <f>COUNTIF(plots1!E:E, "&lt;" &amp; $B14)</f>
        <v>129</v>
      </c>
      <c r="E14" s="2">
        <f>COUNTIF(plots1!F:F, "&lt;" &amp; $B14)</f>
        <v>109</v>
      </c>
      <c r="F14" s="2">
        <f>COUNTIF(plots1!G:G, "&lt;" &amp; $B14)</f>
        <v>125</v>
      </c>
      <c r="G14" s="2">
        <f>COUNTIF(plots1!H:H, "&lt;" &amp; $B14)</f>
        <v>213</v>
      </c>
      <c r="I14" s="2">
        <f t="shared" si="2"/>
        <v>3.981071706</v>
      </c>
      <c r="J14" s="2">
        <f>COUNTIFS(plots1!D:D, "&lt;" &amp; $B14, plots1!$I:$I, $O$20)</f>
        <v>1</v>
      </c>
      <c r="K14" s="2">
        <f>COUNTIFS(plots1!E:E, "&lt;" &amp; $B14, plots1!$I:$I, $O$20)</f>
        <v>13</v>
      </c>
      <c r="L14" s="2">
        <f>COUNTIFS(plots1!F:F, "&lt;" &amp; $B14, plots1!$I:$I, $O$20)</f>
        <v>17</v>
      </c>
      <c r="M14" s="2">
        <f>COUNTIFS(plots1!G:G, "&lt;" &amp; $B14, plots1!$I:$I, $O$20)</f>
        <v>6</v>
      </c>
      <c r="N14" s="2">
        <f>COUNTIFS(plots1!H:H, "&lt;" &amp; $B14, plots1!$I:$I, $O$20)</f>
        <v>26</v>
      </c>
    </row>
    <row r="15">
      <c r="A15" s="1">
        <v>13.0</v>
      </c>
      <c r="B15" s="2">
        <f t="shared" si="1"/>
        <v>4.466835922</v>
      </c>
      <c r="C15" s="2">
        <f>COUNTIF(plots1!D:D, "&lt;" &amp; $B15)</f>
        <v>1</v>
      </c>
      <c r="D15" s="2">
        <f>COUNTIF(plots1!E:E, "&lt;" &amp; $B15)</f>
        <v>133</v>
      </c>
      <c r="E15" s="2">
        <f>COUNTIF(plots1!F:F, "&lt;" &amp; $B15)</f>
        <v>123</v>
      </c>
      <c r="F15" s="2">
        <f>COUNTIF(plots1!G:G, "&lt;" &amp; $B15)</f>
        <v>141</v>
      </c>
      <c r="G15" s="2">
        <f>COUNTIF(plots1!H:H, "&lt;" &amp; $B15)</f>
        <v>247</v>
      </c>
      <c r="I15" s="2">
        <f t="shared" si="2"/>
        <v>4.466835922</v>
      </c>
      <c r="J15" s="2">
        <f>COUNTIFS(plots1!D:D, "&lt;" &amp; $B15, plots1!$I:$I, $O$20)</f>
        <v>1</v>
      </c>
      <c r="K15" s="2">
        <f>COUNTIFS(plots1!E:E, "&lt;" &amp; $B15, plots1!$I:$I, $O$20)</f>
        <v>16</v>
      </c>
      <c r="L15" s="2">
        <f>COUNTIFS(plots1!F:F, "&lt;" &amp; $B15, plots1!$I:$I, $O$20)</f>
        <v>22</v>
      </c>
      <c r="M15" s="2">
        <f>COUNTIFS(plots1!G:G, "&lt;" &amp; $B15, plots1!$I:$I, $O$20)</f>
        <v>17</v>
      </c>
      <c r="N15" s="2">
        <f>COUNTIFS(plots1!H:H, "&lt;" &amp; $B15, plots1!$I:$I, $O$20)</f>
        <v>33</v>
      </c>
    </row>
    <row r="16">
      <c r="A16" s="1">
        <v>14.0</v>
      </c>
      <c r="B16" s="2">
        <f t="shared" si="1"/>
        <v>5.011872336</v>
      </c>
      <c r="C16" s="2">
        <f>COUNTIF(plots1!D:D, "&lt;" &amp; $B16)</f>
        <v>1</v>
      </c>
      <c r="D16" s="2">
        <f>COUNTIF(plots1!E:E, "&lt;" &amp; $B16)</f>
        <v>137</v>
      </c>
      <c r="E16" s="2">
        <f>COUNTIF(plots1!F:F, "&lt;" &amp; $B16)</f>
        <v>152</v>
      </c>
      <c r="F16" s="2">
        <f>COUNTIF(plots1!G:G, "&lt;" &amp; $B16)</f>
        <v>144</v>
      </c>
      <c r="G16" s="2">
        <f>COUNTIF(plots1!H:H, "&lt;" &amp; $B16)</f>
        <v>264</v>
      </c>
      <c r="I16" s="2">
        <f t="shared" si="2"/>
        <v>5.011872336</v>
      </c>
      <c r="J16" s="2">
        <f>COUNTIFS(plots1!D:D, "&lt;" &amp; $B16, plots1!$I:$I, $O$20)</f>
        <v>1</v>
      </c>
      <c r="K16" s="2">
        <f>COUNTIFS(plots1!E:E, "&lt;" &amp; $B16, plots1!$I:$I, $O$20)</f>
        <v>16</v>
      </c>
      <c r="L16" s="2">
        <f>COUNTIFS(plots1!F:F, "&lt;" &amp; $B16, plots1!$I:$I, $O$20)</f>
        <v>24</v>
      </c>
      <c r="M16" s="2">
        <f>COUNTIFS(plots1!G:G, "&lt;" &amp; $B16, plots1!$I:$I, $O$20)</f>
        <v>17</v>
      </c>
      <c r="N16" s="2">
        <f>COUNTIFS(plots1!H:H, "&lt;" &amp; $B16, plots1!$I:$I, $O$20)</f>
        <v>36</v>
      </c>
    </row>
    <row r="17">
      <c r="A17" s="1">
        <v>15.0</v>
      </c>
      <c r="B17" s="2">
        <f t="shared" si="1"/>
        <v>5.623413252</v>
      </c>
      <c r="C17" s="2">
        <f>COUNTIF(plots1!D:D, "&lt;" &amp; $B17)</f>
        <v>1</v>
      </c>
      <c r="D17" s="2">
        <f>COUNTIF(plots1!E:E, "&lt;" &amp; $B17)</f>
        <v>137</v>
      </c>
      <c r="E17" s="2">
        <f>COUNTIF(plots1!F:F, "&lt;" &amp; $B17)</f>
        <v>152</v>
      </c>
      <c r="F17" s="2">
        <f>COUNTIF(plots1!G:G, "&lt;" &amp; $B17)</f>
        <v>144</v>
      </c>
      <c r="G17" s="2">
        <f>COUNTIF(plots1!H:H, "&lt;" &amp; $B17)</f>
        <v>264</v>
      </c>
      <c r="I17" s="2">
        <f t="shared" si="2"/>
        <v>5.623413252</v>
      </c>
      <c r="J17" s="2">
        <f>COUNTIFS(plots1!D:D, "&lt;" &amp; $B17, plots1!$I:$I, $O$20)</f>
        <v>1</v>
      </c>
      <c r="K17" s="2">
        <f>COUNTIFS(plots1!E:E, "&lt;" &amp; $B17, plots1!$I:$I, $O$20)</f>
        <v>16</v>
      </c>
      <c r="L17" s="2">
        <f>COUNTIFS(plots1!F:F, "&lt;" &amp; $B17, plots1!$I:$I, $O$20)</f>
        <v>24</v>
      </c>
      <c r="M17" s="2">
        <f>COUNTIFS(plots1!G:G, "&lt;" &amp; $B17, plots1!$I:$I, $O$20)</f>
        <v>17</v>
      </c>
      <c r="N17" s="2">
        <f>COUNTIFS(plots1!H:H, "&lt;" &amp; $B17, plots1!$I:$I, $O$20)</f>
        <v>36</v>
      </c>
    </row>
    <row r="18">
      <c r="A18" s="1">
        <v>16.0</v>
      </c>
      <c r="B18" s="2">
        <f t="shared" si="1"/>
        <v>6.309573445</v>
      </c>
      <c r="C18" s="2">
        <f>COUNTIF(plots1!D:D, "&lt;" &amp; $B18)</f>
        <v>1</v>
      </c>
      <c r="D18" s="2">
        <f>COUNTIF(plots1!E:E, "&lt;" &amp; $B18)</f>
        <v>151</v>
      </c>
      <c r="E18" s="2">
        <f>COUNTIF(plots1!F:F, "&lt;" &amp; $B18)</f>
        <v>153</v>
      </c>
      <c r="F18" s="2">
        <f>COUNTIF(plots1!G:G, "&lt;" &amp; $B18)</f>
        <v>150</v>
      </c>
      <c r="G18" s="2">
        <f>COUNTIF(plots1!H:H, "&lt;" &amp; $B18)</f>
        <v>280</v>
      </c>
      <c r="I18" s="2">
        <f t="shared" si="2"/>
        <v>6.309573445</v>
      </c>
      <c r="J18" s="2">
        <f>COUNTIFS(plots1!D:D, "&lt;" &amp; $B18, plots1!$I:$I, $O$20)</f>
        <v>1</v>
      </c>
      <c r="K18" s="2">
        <f>COUNTIFS(plots1!E:E, "&lt;" &amp; $B18, plots1!$I:$I, $O$20)</f>
        <v>16</v>
      </c>
      <c r="L18" s="2">
        <f>COUNTIFS(plots1!F:F, "&lt;" &amp; $B18, plots1!$I:$I, $O$20)</f>
        <v>24</v>
      </c>
      <c r="M18" s="2">
        <f>COUNTIFS(plots1!G:G, "&lt;" &amp; $B18, plots1!$I:$I, $O$20)</f>
        <v>19</v>
      </c>
      <c r="N18" s="2">
        <f>COUNTIFS(plots1!H:H, "&lt;" &amp; $B18, plots1!$I:$I, $O$20)</f>
        <v>36</v>
      </c>
    </row>
    <row r="19">
      <c r="A19" s="1">
        <v>17.0</v>
      </c>
      <c r="B19" s="2">
        <f t="shared" si="1"/>
        <v>7.079457844</v>
      </c>
      <c r="C19" s="2">
        <f>COUNTIF(plots1!D:D, "&lt;" &amp; $B19)</f>
        <v>1</v>
      </c>
      <c r="D19" s="2">
        <f>COUNTIF(plots1!E:E, "&lt;" &amp; $B19)</f>
        <v>159</v>
      </c>
      <c r="E19" s="2">
        <f>COUNTIF(plots1!F:F, "&lt;" &amp; $B19)</f>
        <v>154</v>
      </c>
      <c r="F19" s="2">
        <f>COUNTIF(plots1!G:G, "&lt;" &amp; $B19)</f>
        <v>156</v>
      </c>
      <c r="G19" s="2">
        <f>COUNTIF(plots1!H:H, "&lt;" &amp; $B19)</f>
        <v>283</v>
      </c>
      <c r="I19" s="2">
        <f t="shared" si="2"/>
        <v>7.079457844</v>
      </c>
      <c r="J19" s="2">
        <f>COUNTIFS(plots1!D:D, "&lt;" &amp; $B19, plots1!$I:$I, $O$20)</f>
        <v>1</v>
      </c>
      <c r="K19" s="2">
        <f>COUNTIFS(plots1!E:E, "&lt;" &amp; $B19, plots1!$I:$I, $O$20)</f>
        <v>16</v>
      </c>
      <c r="L19" s="2">
        <f>COUNTIFS(plots1!F:F, "&lt;" &amp; $B19, plots1!$I:$I, $O$20)</f>
        <v>24</v>
      </c>
      <c r="M19" s="2">
        <f>COUNTIFS(plots1!G:G, "&lt;" &amp; $B19, plots1!$I:$I, $O$20)</f>
        <v>19</v>
      </c>
      <c r="N19" s="2">
        <f>COUNTIFS(plots1!H:H, "&lt;" &amp; $B19, plots1!$I:$I, $O$20)</f>
        <v>36</v>
      </c>
    </row>
    <row r="20">
      <c r="A20" s="1">
        <v>18.0</v>
      </c>
      <c r="B20" s="2">
        <f t="shared" si="1"/>
        <v>7.943282347</v>
      </c>
      <c r="C20" s="2">
        <f>COUNTIF(plots1!D:D, "&lt;" &amp; $B20)</f>
        <v>1</v>
      </c>
      <c r="D20" s="2">
        <f>COUNTIF(plots1!E:E, "&lt;" &amp; $B20)</f>
        <v>159</v>
      </c>
      <c r="E20" s="2">
        <f>COUNTIF(plots1!F:F, "&lt;" &amp; $B20)</f>
        <v>154</v>
      </c>
      <c r="F20" s="2">
        <f>COUNTIF(plots1!G:G, "&lt;" &amp; $B20)</f>
        <v>156</v>
      </c>
      <c r="G20" s="2">
        <f>COUNTIF(plots1!H:H, "&lt;" &amp; $B20)</f>
        <v>283</v>
      </c>
      <c r="I20" s="2">
        <f t="shared" si="2"/>
        <v>7.943282347</v>
      </c>
      <c r="J20" s="2">
        <f>COUNTIFS(plots1!D:D, "&lt;" &amp; $B20, plots1!$I:$I, $O$20)</f>
        <v>1</v>
      </c>
      <c r="K20" s="2">
        <f>COUNTIFS(plots1!E:E, "&lt;" &amp; $B20, plots1!$I:$I, $O$20)</f>
        <v>16</v>
      </c>
      <c r="L20" s="2">
        <f>COUNTIFS(plots1!F:F, "&lt;" &amp; $B20, plots1!$I:$I, $O$20)</f>
        <v>24</v>
      </c>
      <c r="M20" s="2">
        <f>COUNTIFS(plots1!G:G, "&lt;" &amp; $B20, plots1!$I:$I, $O$20)</f>
        <v>19</v>
      </c>
      <c r="N20" s="2">
        <f>COUNTIFS(plots1!H:H, "&lt;" &amp; $B20, plots1!$I:$I, $O$20)</f>
        <v>36</v>
      </c>
      <c r="O20" s="1" t="s">
        <v>2947</v>
      </c>
    </row>
    <row r="21">
      <c r="A21" s="1">
        <v>19.0</v>
      </c>
      <c r="B21" s="2">
        <f t="shared" si="1"/>
        <v>8.912509381</v>
      </c>
      <c r="C21" s="2">
        <f>COUNTIF(plots1!D:D, "&lt;" &amp; $B21)</f>
        <v>1</v>
      </c>
      <c r="D21" s="2">
        <f>COUNTIF(plots1!E:E, "&lt;" &amp; $B21)</f>
        <v>164</v>
      </c>
      <c r="E21" s="2">
        <f>COUNTIF(plots1!F:F, "&lt;" &amp; $B21)</f>
        <v>154</v>
      </c>
      <c r="F21" s="2">
        <f>COUNTIF(plots1!G:G, "&lt;" &amp; $B21)</f>
        <v>181</v>
      </c>
      <c r="G21" s="2">
        <f>COUNTIF(plots1!H:H, "&lt;" &amp; $B21)</f>
        <v>290</v>
      </c>
      <c r="I21" s="2">
        <f t="shared" si="2"/>
        <v>8.912509381</v>
      </c>
      <c r="J21" s="2">
        <f>COUNTIFS(plots1!D:D, "&lt;" &amp; $B21, plots1!$I:$I, $O$20)</f>
        <v>1</v>
      </c>
      <c r="K21" s="2">
        <f>COUNTIFS(plots1!E:E, "&lt;" &amp; $B21, plots1!$I:$I, $O$20)</f>
        <v>20</v>
      </c>
      <c r="L21" s="2">
        <f>COUNTIFS(plots1!F:F, "&lt;" &amp; $B21, plots1!$I:$I, $O$20)</f>
        <v>24</v>
      </c>
      <c r="M21" s="2">
        <f>COUNTIFS(plots1!G:G, "&lt;" &amp; $B21, plots1!$I:$I, $O$20)</f>
        <v>20</v>
      </c>
      <c r="N21" s="2">
        <f>COUNTIFS(plots1!H:H, "&lt;" &amp; $B21, plots1!$I:$I, $O$20)</f>
        <v>38</v>
      </c>
    </row>
    <row r="22">
      <c r="A22" s="1">
        <v>20.0</v>
      </c>
      <c r="B22" s="2">
        <f t="shared" si="1"/>
        <v>10</v>
      </c>
      <c r="C22" s="2">
        <f>COUNTIF(plots1!D:D, "&lt;" &amp; $B22)</f>
        <v>1</v>
      </c>
      <c r="D22" s="2">
        <f>COUNTIF(plots1!E:E, "&lt;" &amp; $B22)</f>
        <v>167</v>
      </c>
      <c r="E22" s="2">
        <f>COUNTIF(plots1!F:F, "&lt;" &amp; $B22)</f>
        <v>156</v>
      </c>
      <c r="F22" s="2">
        <f>COUNTIF(plots1!G:G, "&lt;" &amp; $B22)</f>
        <v>199</v>
      </c>
      <c r="G22" s="2">
        <f>COUNTIF(plots1!H:H, "&lt;" &amp; $B22)</f>
        <v>296</v>
      </c>
      <c r="I22" s="2">
        <f t="shared" si="2"/>
        <v>10</v>
      </c>
      <c r="J22" s="2">
        <f>COUNTIFS(plots1!D:D, "&lt;" &amp; $B22, plots1!$I:$I, $O$20)</f>
        <v>1</v>
      </c>
      <c r="K22" s="2">
        <f>COUNTIFS(plots1!E:E, "&lt;" &amp; $B22, plots1!$I:$I, $O$20)</f>
        <v>22</v>
      </c>
      <c r="L22" s="2">
        <f>COUNTIFS(plots1!F:F, "&lt;" &amp; $B22, plots1!$I:$I, $O$20)</f>
        <v>24</v>
      </c>
      <c r="M22" s="2">
        <f>COUNTIFS(plots1!G:G, "&lt;" &amp; $B22, plots1!$I:$I, $O$20)</f>
        <v>20</v>
      </c>
      <c r="N22" s="2">
        <f>COUNTIFS(plots1!H:H, "&lt;" &amp; $B22, plots1!$I:$I, $O$20)</f>
        <v>40</v>
      </c>
    </row>
    <row r="23">
      <c r="A23" s="1">
        <v>21.0</v>
      </c>
      <c r="B23" s="2">
        <f t="shared" si="1"/>
        <v>11.22018454</v>
      </c>
      <c r="C23" s="2">
        <f>COUNTIF(plots1!D:D, "&lt;" &amp; $B23)</f>
        <v>15</v>
      </c>
      <c r="D23" s="2">
        <f>COUNTIF(plots1!E:E, "&lt;" &amp; $B23)</f>
        <v>184</v>
      </c>
      <c r="E23" s="2">
        <f>COUNTIF(plots1!F:F, "&lt;" &amp; $B23)</f>
        <v>172</v>
      </c>
      <c r="F23" s="2">
        <f>COUNTIF(plots1!G:G, "&lt;" &amp; $B23)</f>
        <v>218</v>
      </c>
      <c r="G23" s="2">
        <f>COUNTIF(plots1!H:H, "&lt;" &amp; $B23)</f>
        <v>305</v>
      </c>
      <c r="I23" s="2">
        <f t="shared" si="2"/>
        <v>11.22018454</v>
      </c>
      <c r="J23" s="2">
        <f>COUNTIFS(plots1!D:D, "&lt;" &amp; $B23, plots1!$I:$I, $O$20)</f>
        <v>9</v>
      </c>
      <c r="K23" s="2">
        <f>COUNTIFS(plots1!E:E, "&lt;" &amp; $B23, plots1!$I:$I, $O$20)</f>
        <v>24</v>
      </c>
      <c r="L23" s="2">
        <f>COUNTIFS(plots1!F:F, "&lt;" &amp; $B23, plots1!$I:$I, $O$20)</f>
        <v>26</v>
      </c>
      <c r="M23" s="2">
        <f>COUNTIFS(plots1!G:G, "&lt;" &amp; $B23, plots1!$I:$I, $O$20)</f>
        <v>20</v>
      </c>
      <c r="N23" s="2">
        <f>COUNTIFS(plots1!H:H, "&lt;" &amp; $B23, plots1!$I:$I, $O$20)</f>
        <v>41</v>
      </c>
    </row>
    <row r="24">
      <c r="A24" s="1">
        <v>22.0</v>
      </c>
      <c r="B24" s="2">
        <f t="shared" si="1"/>
        <v>12.58925412</v>
      </c>
      <c r="C24" s="2">
        <f>COUNTIF(plots1!D:D, "&lt;" &amp; $B24)</f>
        <v>18</v>
      </c>
      <c r="D24" s="2">
        <f>COUNTIF(plots1!E:E, "&lt;" &amp; $B24)</f>
        <v>191</v>
      </c>
      <c r="E24" s="2">
        <f>COUNTIF(plots1!F:F, "&lt;" &amp; $B24)</f>
        <v>173</v>
      </c>
      <c r="F24" s="2">
        <f>COUNTIF(plots1!G:G, "&lt;" &amp; $B24)</f>
        <v>220</v>
      </c>
      <c r="G24" s="2">
        <f>COUNTIF(plots1!H:H, "&lt;" &amp; $B24)</f>
        <v>306</v>
      </c>
      <c r="I24" s="2">
        <f t="shared" si="2"/>
        <v>12.58925412</v>
      </c>
      <c r="J24" s="2">
        <f>COUNTIFS(plots1!D:D, "&lt;" &amp; $B24, plots1!$I:$I, $O$20)</f>
        <v>9</v>
      </c>
      <c r="K24" s="2">
        <f>COUNTIFS(plots1!E:E, "&lt;" &amp; $B24, plots1!$I:$I, $O$20)</f>
        <v>25</v>
      </c>
      <c r="L24" s="2">
        <f>COUNTIFS(plots1!F:F, "&lt;" &amp; $B24, plots1!$I:$I, $O$20)</f>
        <v>27</v>
      </c>
      <c r="M24" s="2">
        <f>COUNTIFS(plots1!G:G, "&lt;" &amp; $B24, plots1!$I:$I, $O$20)</f>
        <v>21</v>
      </c>
      <c r="N24" s="2">
        <f>COUNTIFS(plots1!H:H, "&lt;" &amp; $B24, plots1!$I:$I, $O$20)</f>
        <v>41</v>
      </c>
    </row>
    <row r="25">
      <c r="A25" s="1">
        <v>23.0</v>
      </c>
      <c r="B25" s="2">
        <f t="shared" si="1"/>
        <v>14.12537545</v>
      </c>
      <c r="C25" s="2">
        <f>COUNTIF(plots1!D:D, "&lt;" &amp; $B25)</f>
        <v>34</v>
      </c>
      <c r="D25" s="2">
        <f>COUNTIF(plots1!E:E, "&lt;" &amp; $B25)</f>
        <v>206</v>
      </c>
      <c r="E25" s="2">
        <f>COUNTIF(plots1!F:F, "&lt;" &amp; $B25)</f>
        <v>177</v>
      </c>
      <c r="F25" s="2">
        <f>COUNTIF(plots1!G:G, "&lt;" &amp; $B25)</f>
        <v>233</v>
      </c>
      <c r="G25" s="2">
        <f>COUNTIF(plots1!H:H, "&lt;" &amp; $B25)</f>
        <v>308</v>
      </c>
      <c r="I25" s="2">
        <f t="shared" si="2"/>
        <v>14.12537545</v>
      </c>
      <c r="J25" s="2">
        <f>COUNTIFS(plots1!D:D, "&lt;" &amp; $B25, plots1!$I:$I, $O$20)</f>
        <v>10</v>
      </c>
      <c r="K25" s="2">
        <f>COUNTIFS(plots1!E:E, "&lt;" &amp; $B25, plots1!$I:$I, $O$20)</f>
        <v>25</v>
      </c>
      <c r="L25" s="2">
        <f>COUNTIFS(plots1!F:F, "&lt;" &amp; $B25, plots1!$I:$I, $O$20)</f>
        <v>27</v>
      </c>
      <c r="M25" s="2">
        <f>COUNTIFS(plots1!G:G, "&lt;" &amp; $B25, plots1!$I:$I, $O$20)</f>
        <v>22</v>
      </c>
      <c r="N25" s="2">
        <f>COUNTIFS(plots1!H:H, "&lt;" &amp; $B25, plots1!$I:$I, $O$20)</f>
        <v>42</v>
      </c>
    </row>
    <row r="26">
      <c r="A26" s="1">
        <v>24.0</v>
      </c>
      <c r="B26" s="2">
        <f t="shared" si="1"/>
        <v>15.84893192</v>
      </c>
      <c r="C26" s="2">
        <f>COUNTIF(plots1!D:D, "&lt;" &amp; $B26)</f>
        <v>48</v>
      </c>
      <c r="D26" s="2">
        <f>COUNTIF(plots1!E:E, "&lt;" &amp; $B26)</f>
        <v>207</v>
      </c>
      <c r="E26" s="2">
        <f>COUNTIF(plots1!F:F, "&lt;" &amp; $B26)</f>
        <v>183</v>
      </c>
      <c r="F26" s="2">
        <f>COUNTIF(plots1!G:G, "&lt;" &amp; $B26)</f>
        <v>237</v>
      </c>
      <c r="G26" s="2">
        <f>COUNTIF(plots1!H:H, "&lt;" &amp; $B26)</f>
        <v>319</v>
      </c>
      <c r="I26" s="2">
        <f t="shared" si="2"/>
        <v>15.84893192</v>
      </c>
      <c r="J26" s="2">
        <f>COUNTIFS(plots1!D:D, "&lt;" &amp; $B26, plots1!$I:$I, $O$20)</f>
        <v>10</v>
      </c>
      <c r="K26" s="2">
        <f>COUNTIFS(plots1!E:E, "&lt;" &amp; $B26, plots1!$I:$I, $O$20)</f>
        <v>26</v>
      </c>
      <c r="L26" s="2">
        <f>COUNTIFS(plots1!F:F, "&lt;" &amp; $B26, plots1!$I:$I, $O$20)</f>
        <v>28</v>
      </c>
      <c r="M26" s="2">
        <f>COUNTIFS(plots1!G:G, "&lt;" &amp; $B26, plots1!$I:$I, $O$20)</f>
        <v>24</v>
      </c>
      <c r="N26" s="2">
        <f>COUNTIFS(plots1!H:H, "&lt;" &amp; $B26, plots1!$I:$I, $O$20)</f>
        <v>43</v>
      </c>
    </row>
    <row r="27">
      <c r="A27" s="1">
        <v>25.0</v>
      </c>
      <c r="B27" s="2">
        <f t="shared" si="1"/>
        <v>17.7827941</v>
      </c>
      <c r="C27" s="2">
        <f>COUNTIF(plots1!D:D, "&lt;" &amp; $B27)</f>
        <v>52</v>
      </c>
      <c r="D27" s="2">
        <f>COUNTIF(plots1!E:E, "&lt;" &amp; $B27)</f>
        <v>210</v>
      </c>
      <c r="E27" s="2">
        <f>COUNTIF(plots1!F:F, "&lt;" &amp; $B27)</f>
        <v>192</v>
      </c>
      <c r="F27" s="2">
        <f>COUNTIF(plots1!G:G, "&lt;" &amp; $B27)</f>
        <v>238</v>
      </c>
      <c r="G27" s="2">
        <f>COUNTIF(plots1!H:H, "&lt;" &amp; $B27)</f>
        <v>332</v>
      </c>
      <c r="I27" s="2">
        <f t="shared" si="2"/>
        <v>17.7827941</v>
      </c>
      <c r="J27" s="2">
        <f>COUNTIFS(plots1!D:D, "&lt;" &amp; $B27, plots1!$I:$I, $O$20)</f>
        <v>10</v>
      </c>
      <c r="K27" s="2">
        <f>COUNTIFS(plots1!E:E, "&lt;" &amp; $B27, plots1!$I:$I, $O$20)</f>
        <v>29</v>
      </c>
      <c r="L27" s="2">
        <f>COUNTIFS(plots1!F:F, "&lt;" &amp; $B27, plots1!$I:$I, $O$20)</f>
        <v>30</v>
      </c>
      <c r="M27" s="2">
        <f>COUNTIFS(plots1!G:G, "&lt;" &amp; $B27, plots1!$I:$I, $O$20)</f>
        <v>24</v>
      </c>
      <c r="N27" s="2">
        <f>COUNTIFS(plots1!H:H, "&lt;" &amp; $B27, plots1!$I:$I, $O$20)</f>
        <v>46</v>
      </c>
    </row>
    <row r="28">
      <c r="A28" s="1">
        <v>26.0</v>
      </c>
      <c r="B28" s="2">
        <f t="shared" si="1"/>
        <v>19.95262315</v>
      </c>
      <c r="C28" s="2">
        <f>COUNTIF(plots1!D:D, "&lt;" &amp; $B28)</f>
        <v>53</v>
      </c>
      <c r="D28" s="2">
        <f>COUNTIF(plots1!E:E, "&lt;" &amp; $B28)</f>
        <v>212</v>
      </c>
      <c r="E28" s="2">
        <f>COUNTIF(plots1!F:F, "&lt;" &amp; $B28)</f>
        <v>202</v>
      </c>
      <c r="F28" s="2">
        <f>COUNTIF(plots1!G:G, "&lt;" &amp; $B28)</f>
        <v>246</v>
      </c>
      <c r="G28" s="2">
        <f>COUNTIF(plots1!H:H, "&lt;" &amp; $B28)</f>
        <v>340</v>
      </c>
      <c r="I28" s="2">
        <f t="shared" si="2"/>
        <v>19.95262315</v>
      </c>
      <c r="J28" s="2">
        <f>COUNTIFS(plots1!D:D, "&lt;" &amp; $B28, plots1!$I:$I, $O$20)</f>
        <v>10</v>
      </c>
      <c r="K28" s="2">
        <f>COUNTIFS(plots1!E:E, "&lt;" &amp; $B28, plots1!$I:$I, $O$20)</f>
        <v>31</v>
      </c>
      <c r="L28" s="2">
        <f>COUNTIFS(plots1!F:F, "&lt;" &amp; $B28, plots1!$I:$I, $O$20)</f>
        <v>34</v>
      </c>
      <c r="M28" s="2">
        <f>COUNTIFS(plots1!G:G, "&lt;" &amp; $B28, plots1!$I:$I, $O$20)</f>
        <v>29</v>
      </c>
      <c r="N28" s="2">
        <f>COUNTIFS(plots1!H:H, "&lt;" &amp; $B28, plots1!$I:$I, $O$20)</f>
        <v>48</v>
      </c>
    </row>
    <row r="29">
      <c r="A29" s="1">
        <v>27.0</v>
      </c>
      <c r="B29" s="2">
        <f t="shared" si="1"/>
        <v>22.38721139</v>
      </c>
      <c r="C29" s="2">
        <f>COUNTIF(plots1!D:D, "&lt;" &amp; $B29)</f>
        <v>57</v>
      </c>
      <c r="D29" s="2">
        <f>COUNTIF(plots1!E:E, "&lt;" &amp; $B29)</f>
        <v>222</v>
      </c>
      <c r="E29" s="2">
        <f>COUNTIF(plots1!F:F, "&lt;" &amp; $B29)</f>
        <v>212</v>
      </c>
      <c r="F29" s="2">
        <f>COUNTIF(plots1!G:G, "&lt;" &amp; $B29)</f>
        <v>249</v>
      </c>
      <c r="G29" s="2">
        <f>COUNTIF(plots1!H:H, "&lt;" &amp; $B29)</f>
        <v>360</v>
      </c>
      <c r="I29" s="2">
        <f t="shared" si="2"/>
        <v>22.38721139</v>
      </c>
      <c r="J29" s="2">
        <f>COUNTIFS(plots1!D:D, "&lt;" &amp; $B29, plots1!$I:$I, $O$20)</f>
        <v>11</v>
      </c>
      <c r="K29" s="2">
        <f>COUNTIFS(plots1!E:E, "&lt;" &amp; $B29, plots1!$I:$I, $O$20)</f>
        <v>31</v>
      </c>
      <c r="L29" s="2">
        <f>COUNTIFS(plots1!F:F, "&lt;" &amp; $B29, plots1!$I:$I, $O$20)</f>
        <v>34</v>
      </c>
      <c r="M29" s="2">
        <f>COUNTIFS(plots1!G:G, "&lt;" &amp; $B29, plots1!$I:$I, $O$20)</f>
        <v>32</v>
      </c>
      <c r="N29" s="2">
        <f>COUNTIFS(plots1!H:H, "&lt;" &amp; $B29, plots1!$I:$I, $O$20)</f>
        <v>49</v>
      </c>
    </row>
    <row r="30">
      <c r="A30" s="1">
        <v>28.0</v>
      </c>
      <c r="B30" s="2">
        <f t="shared" si="1"/>
        <v>25.11886432</v>
      </c>
      <c r="C30" s="2">
        <f>COUNTIF(plots1!D:D, "&lt;" &amp; $B30)</f>
        <v>58</v>
      </c>
      <c r="D30" s="2">
        <f>COUNTIF(plots1!E:E, "&lt;" &amp; $B30)</f>
        <v>227</v>
      </c>
      <c r="E30" s="2">
        <f>COUNTIF(plots1!F:F, "&lt;" &amp; $B30)</f>
        <v>223</v>
      </c>
      <c r="F30" s="2">
        <f>COUNTIF(plots1!G:G, "&lt;" &amp; $B30)</f>
        <v>265</v>
      </c>
      <c r="G30" s="2">
        <f>COUNTIF(plots1!H:H, "&lt;" &amp; $B30)</f>
        <v>360</v>
      </c>
      <c r="I30" s="2">
        <f t="shared" si="2"/>
        <v>25.11886432</v>
      </c>
      <c r="J30" s="2">
        <f>COUNTIFS(plots1!D:D, "&lt;" &amp; $B30, plots1!$I:$I, $O$20)</f>
        <v>11</v>
      </c>
      <c r="K30" s="2">
        <f>COUNTIFS(plots1!E:E, "&lt;" &amp; $B30, plots1!$I:$I, $O$20)</f>
        <v>33</v>
      </c>
      <c r="L30" s="2">
        <f>COUNTIFS(plots1!F:F, "&lt;" &amp; $B30, plots1!$I:$I, $O$20)</f>
        <v>36</v>
      </c>
      <c r="M30" s="2">
        <f>COUNTIFS(plots1!G:G, "&lt;" &amp; $B30, plots1!$I:$I, $O$20)</f>
        <v>33</v>
      </c>
      <c r="N30" s="2">
        <f>COUNTIFS(plots1!H:H, "&lt;" &amp; $B30, plots1!$I:$I, $O$20)</f>
        <v>49</v>
      </c>
    </row>
    <row r="31">
      <c r="A31" s="1">
        <v>29.0</v>
      </c>
      <c r="B31" s="2">
        <f t="shared" si="1"/>
        <v>28.18382931</v>
      </c>
      <c r="C31" s="2">
        <f>COUNTIF(plots1!D:D, "&lt;" &amp; $B31)</f>
        <v>60</v>
      </c>
      <c r="D31" s="2">
        <f>COUNTIF(plots1!E:E, "&lt;" &amp; $B31)</f>
        <v>228</v>
      </c>
      <c r="E31" s="2">
        <f>COUNTIF(plots1!F:F, "&lt;" &amp; $B31)</f>
        <v>227</v>
      </c>
      <c r="F31" s="2">
        <f>COUNTIF(plots1!G:G, "&lt;" &amp; $B31)</f>
        <v>272</v>
      </c>
      <c r="G31" s="2">
        <f>COUNTIF(plots1!H:H, "&lt;" &amp; $B31)</f>
        <v>366</v>
      </c>
      <c r="I31" s="2">
        <f t="shared" si="2"/>
        <v>28.18382931</v>
      </c>
      <c r="J31" s="2">
        <f>COUNTIFS(plots1!D:D, "&lt;" &amp; $B31, plots1!$I:$I, $O$20)</f>
        <v>11</v>
      </c>
      <c r="K31" s="2">
        <f>COUNTIFS(plots1!E:E, "&lt;" &amp; $B31, plots1!$I:$I, $O$20)</f>
        <v>33</v>
      </c>
      <c r="L31" s="2">
        <f>COUNTIFS(plots1!F:F, "&lt;" &amp; $B31, plots1!$I:$I, $O$20)</f>
        <v>38</v>
      </c>
      <c r="M31" s="2">
        <f>COUNTIFS(plots1!G:G, "&lt;" &amp; $B31, plots1!$I:$I, $O$20)</f>
        <v>34</v>
      </c>
      <c r="N31" s="2">
        <f>COUNTIFS(plots1!H:H, "&lt;" &amp; $B31, plots1!$I:$I, $O$20)</f>
        <v>51</v>
      </c>
    </row>
    <row r="32">
      <c r="A32" s="1">
        <v>30.0</v>
      </c>
      <c r="B32" s="2">
        <f t="shared" si="1"/>
        <v>31.6227766</v>
      </c>
      <c r="C32" s="2">
        <f>COUNTIF(plots1!D:D, "&lt;" &amp; $B32)</f>
        <v>65</v>
      </c>
      <c r="D32" s="2">
        <f>COUNTIF(plots1!E:E, "&lt;" &amp; $B32)</f>
        <v>240</v>
      </c>
      <c r="E32" s="2">
        <f>COUNTIF(plots1!F:F, "&lt;" &amp; $B32)</f>
        <v>227</v>
      </c>
      <c r="F32" s="2">
        <f>COUNTIF(plots1!G:G, "&lt;" &amp; $B32)</f>
        <v>284</v>
      </c>
      <c r="G32" s="2">
        <f>COUNTIF(plots1!H:H, "&lt;" &amp; $B32)</f>
        <v>367</v>
      </c>
      <c r="I32" s="2">
        <f t="shared" si="2"/>
        <v>31.6227766</v>
      </c>
      <c r="J32" s="2">
        <f>COUNTIFS(plots1!D:D, "&lt;" &amp; $B32, plots1!$I:$I, $O$20)</f>
        <v>11</v>
      </c>
      <c r="K32" s="2">
        <f>COUNTIFS(plots1!E:E, "&lt;" &amp; $B32, plots1!$I:$I, $O$20)</f>
        <v>36</v>
      </c>
      <c r="L32" s="2">
        <f>COUNTIFS(plots1!F:F, "&lt;" &amp; $B32, plots1!$I:$I, $O$20)</f>
        <v>38</v>
      </c>
      <c r="M32" s="2">
        <f>COUNTIFS(plots1!G:G, "&lt;" &amp; $B32, plots1!$I:$I, $O$20)</f>
        <v>34</v>
      </c>
      <c r="N32" s="2">
        <f>COUNTIFS(plots1!H:H, "&lt;" &amp; $B32, plots1!$I:$I, $O$20)</f>
        <v>52</v>
      </c>
    </row>
    <row r="33">
      <c r="A33" s="1">
        <v>31.0</v>
      </c>
      <c r="B33" s="2">
        <f t="shared" si="1"/>
        <v>35.48133892</v>
      </c>
      <c r="C33" s="2">
        <f>COUNTIF(plots1!D:D, "&lt;" &amp; $B33)</f>
        <v>65</v>
      </c>
      <c r="D33" s="2">
        <f>COUNTIF(plots1!E:E, "&lt;" &amp; $B33)</f>
        <v>240</v>
      </c>
      <c r="E33" s="2">
        <f>COUNTIF(plots1!F:F, "&lt;" &amp; $B33)</f>
        <v>231</v>
      </c>
      <c r="F33" s="2">
        <f>COUNTIF(plots1!G:G, "&lt;" &amp; $B33)</f>
        <v>288</v>
      </c>
      <c r="G33" s="2">
        <f>COUNTIF(plots1!H:H, "&lt;" &amp; $B33)</f>
        <v>376</v>
      </c>
      <c r="I33" s="2">
        <f t="shared" si="2"/>
        <v>35.48133892</v>
      </c>
      <c r="J33" s="2">
        <f>COUNTIFS(plots1!D:D, "&lt;" &amp; $B33, plots1!$I:$I, $O$20)</f>
        <v>11</v>
      </c>
      <c r="K33" s="2">
        <f>COUNTIFS(plots1!E:E, "&lt;" &amp; $B33, plots1!$I:$I, $O$20)</f>
        <v>36</v>
      </c>
      <c r="L33" s="2">
        <f>COUNTIFS(plots1!F:F, "&lt;" &amp; $B33, plots1!$I:$I, $O$20)</f>
        <v>40</v>
      </c>
      <c r="M33" s="2">
        <f>COUNTIFS(plots1!G:G, "&lt;" &amp; $B33, plots1!$I:$I, $O$20)</f>
        <v>34</v>
      </c>
      <c r="N33" s="2">
        <f>COUNTIFS(plots1!H:H, "&lt;" &amp; $B33, plots1!$I:$I, $O$20)</f>
        <v>54</v>
      </c>
    </row>
    <row r="34">
      <c r="A34" s="1">
        <v>32.0</v>
      </c>
      <c r="B34" s="2">
        <f t="shared" si="1"/>
        <v>39.81071706</v>
      </c>
      <c r="C34" s="2">
        <f>COUNTIF(plots1!D:D, "&lt;" &amp; $B34)</f>
        <v>68</v>
      </c>
      <c r="D34" s="2">
        <f>COUNTIF(plots1!E:E, "&lt;" &amp; $B34)</f>
        <v>241</v>
      </c>
      <c r="E34" s="2">
        <f>COUNTIF(plots1!F:F, "&lt;" &amp; $B34)</f>
        <v>233</v>
      </c>
      <c r="F34" s="2">
        <f>COUNTIF(plots1!G:G, "&lt;" &amp; $B34)</f>
        <v>292</v>
      </c>
      <c r="G34" s="2">
        <f>COUNTIF(plots1!H:H, "&lt;" &amp; $B34)</f>
        <v>385</v>
      </c>
      <c r="I34" s="2">
        <f t="shared" si="2"/>
        <v>39.81071706</v>
      </c>
      <c r="J34" s="2">
        <f>COUNTIFS(plots1!D:D, "&lt;" &amp; $B34, plots1!$I:$I, $O$20)</f>
        <v>11</v>
      </c>
      <c r="K34" s="2">
        <f>COUNTIFS(plots1!E:E, "&lt;" &amp; $B34, plots1!$I:$I, $O$20)</f>
        <v>37</v>
      </c>
      <c r="L34" s="2">
        <f>COUNTIFS(plots1!F:F, "&lt;" &amp; $B34, plots1!$I:$I, $O$20)</f>
        <v>42</v>
      </c>
      <c r="M34" s="2">
        <f>COUNTIFS(plots1!G:G, "&lt;" &amp; $B34, plots1!$I:$I, $O$20)</f>
        <v>35</v>
      </c>
      <c r="N34" s="2">
        <f>COUNTIFS(plots1!H:H, "&lt;" &amp; $B34, plots1!$I:$I, $O$20)</f>
        <v>55</v>
      </c>
    </row>
    <row r="35">
      <c r="A35" s="1">
        <v>33.0</v>
      </c>
      <c r="B35" s="2">
        <f t="shared" si="1"/>
        <v>44.66835922</v>
      </c>
      <c r="C35" s="2">
        <f>COUNTIF(plots1!D:D, "&lt;" &amp; $B35)</f>
        <v>71</v>
      </c>
      <c r="D35" s="2">
        <f>COUNTIF(plots1!E:E, "&lt;" &amp; $B35)</f>
        <v>241</v>
      </c>
      <c r="E35" s="2">
        <f>COUNTIF(plots1!F:F, "&lt;" &amp; $B35)</f>
        <v>236</v>
      </c>
      <c r="F35" s="2">
        <f>COUNTIF(plots1!G:G, "&lt;" &amp; $B35)</f>
        <v>302</v>
      </c>
      <c r="G35" s="2">
        <f>COUNTIF(plots1!H:H, "&lt;" &amp; $B35)</f>
        <v>390</v>
      </c>
      <c r="I35" s="2">
        <f t="shared" si="2"/>
        <v>44.66835922</v>
      </c>
      <c r="J35" s="2">
        <f>COUNTIFS(plots1!D:D, "&lt;" &amp; $B35, plots1!$I:$I, $O$20)</f>
        <v>11</v>
      </c>
      <c r="K35" s="2">
        <f>COUNTIFS(plots1!E:E, "&lt;" &amp; $B35, plots1!$I:$I, $O$20)</f>
        <v>37</v>
      </c>
      <c r="L35" s="2">
        <f>COUNTIFS(plots1!F:F, "&lt;" &amp; $B35, plots1!$I:$I, $O$20)</f>
        <v>43</v>
      </c>
      <c r="M35" s="2">
        <f>COUNTIFS(plots1!G:G, "&lt;" &amp; $B35, plots1!$I:$I, $O$20)</f>
        <v>35</v>
      </c>
      <c r="N35" s="2">
        <f>COUNTIFS(plots1!H:H, "&lt;" &amp; $B35, plots1!$I:$I, $O$20)</f>
        <v>55</v>
      </c>
    </row>
    <row r="36">
      <c r="A36" s="1">
        <v>34.0</v>
      </c>
      <c r="B36" s="2">
        <f t="shared" si="1"/>
        <v>50.11872336</v>
      </c>
      <c r="C36" s="2">
        <f>COUNTIF(plots1!D:D, "&lt;" &amp; $B36)</f>
        <v>76</v>
      </c>
      <c r="D36" s="2">
        <f>COUNTIF(plots1!E:E, "&lt;" &amp; $B36)</f>
        <v>241</v>
      </c>
      <c r="E36" s="2">
        <f>COUNTIF(plots1!F:F, "&lt;" &amp; $B36)</f>
        <v>238</v>
      </c>
      <c r="F36" s="2">
        <f>COUNTIF(plots1!G:G, "&lt;" &amp; $B36)</f>
        <v>303</v>
      </c>
      <c r="G36" s="2">
        <f>COUNTIF(plots1!H:H, "&lt;" &amp; $B36)</f>
        <v>392</v>
      </c>
      <c r="I36" s="2">
        <f t="shared" si="2"/>
        <v>50.11872336</v>
      </c>
      <c r="J36" s="2">
        <f>COUNTIFS(plots1!D:D, "&lt;" &amp; $B36, plots1!$I:$I, $O$20)</f>
        <v>11</v>
      </c>
      <c r="K36" s="2">
        <f>COUNTIFS(plots1!E:E, "&lt;" &amp; $B36, plots1!$I:$I, $O$20)</f>
        <v>37</v>
      </c>
      <c r="L36" s="2">
        <f>COUNTIFS(plots1!F:F, "&lt;" &amp; $B36, plots1!$I:$I, $O$20)</f>
        <v>44</v>
      </c>
      <c r="M36" s="2">
        <f>COUNTIFS(plots1!G:G, "&lt;" &amp; $B36, plots1!$I:$I, $O$20)</f>
        <v>36</v>
      </c>
      <c r="N36" s="2">
        <f>COUNTIFS(plots1!H:H, "&lt;" &amp; $B36, plots1!$I:$I, $O$20)</f>
        <v>55</v>
      </c>
    </row>
    <row r="37">
      <c r="A37" s="1">
        <v>35.0</v>
      </c>
      <c r="B37" s="2">
        <f t="shared" si="1"/>
        <v>56.23413252</v>
      </c>
      <c r="C37" s="2">
        <f>COUNTIF(plots1!D:D, "&lt;" &amp; $B37)</f>
        <v>83</v>
      </c>
      <c r="D37" s="2">
        <f>COUNTIF(plots1!E:E, "&lt;" &amp; $B37)</f>
        <v>243</v>
      </c>
      <c r="E37" s="2">
        <f>COUNTIF(plots1!F:F, "&lt;" &amp; $B37)</f>
        <v>247</v>
      </c>
      <c r="F37" s="2">
        <f>COUNTIF(plots1!G:G, "&lt;" &amp; $B37)</f>
        <v>305</v>
      </c>
      <c r="G37" s="2">
        <f>COUNTIF(plots1!H:H, "&lt;" &amp; $B37)</f>
        <v>406</v>
      </c>
      <c r="I37" s="2">
        <f t="shared" si="2"/>
        <v>56.23413252</v>
      </c>
      <c r="J37" s="2">
        <f>COUNTIFS(plots1!D:D, "&lt;" &amp; $B37, plots1!$I:$I, $O$20)</f>
        <v>11</v>
      </c>
      <c r="K37" s="2">
        <f>COUNTIFS(plots1!E:E, "&lt;" &amp; $B37, plots1!$I:$I, $O$20)</f>
        <v>38</v>
      </c>
      <c r="L37" s="2">
        <f>COUNTIFS(plots1!F:F, "&lt;" &amp; $B37, plots1!$I:$I, $O$20)</f>
        <v>44</v>
      </c>
      <c r="M37" s="2">
        <f>COUNTIFS(plots1!G:G, "&lt;" &amp; $B37, plots1!$I:$I, $O$20)</f>
        <v>36</v>
      </c>
      <c r="N37" s="2">
        <f>COUNTIFS(plots1!H:H, "&lt;" &amp; $B37, plots1!$I:$I, $O$20)</f>
        <v>56</v>
      </c>
    </row>
    <row r="38">
      <c r="A38" s="1">
        <v>36.0</v>
      </c>
      <c r="B38" s="2">
        <f t="shared" si="1"/>
        <v>63.09573445</v>
      </c>
      <c r="C38" s="2">
        <f>COUNTIF(plots1!D:D, "&lt;" &amp; $B38)</f>
        <v>85</v>
      </c>
      <c r="D38" s="2">
        <f>COUNTIF(plots1!E:E, "&lt;" &amp; $B38)</f>
        <v>245</v>
      </c>
      <c r="E38" s="2">
        <f>COUNTIF(plots1!F:F, "&lt;" &amp; $B38)</f>
        <v>247</v>
      </c>
      <c r="F38" s="2">
        <f>COUNTIF(plots1!G:G, "&lt;" &amp; $B38)</f>
        <v>307</v>
      </c>
      <c r="G38" s="2">
        <f>COUNTIF(plots1!H:H, "&lt;" &amp; $B38)</f>
        <v>420</v>
      </c>
      <c r="I38" s="2">
        <f t="shared" si="2"/>
        <v>63.09573445</v>
      </c>
      <c r="J38" s="2">
        <f>COUNTIFS(plots1!D:D, "&lt;" &amp; $B38, plots1!$I:$I, $O$20)</f>
        <v>12</v>
      </c>
      <c r="K38" s="2">
        <f>COUNTIFS(plots1!E:E, "&lt;" &amp; $B38, plots1!$I:$I, $O$20)</f>
        <v>40</v>
      </c>
      <c r="L38" s="2">
        <f>COUNTIFS(plots1!F:F, "&lt;" &amp; $B38, plots1!$I:$I, $O$20)</f>
        <v>44</v>
      </c>
      <c r="M38" s="2">
        <f>COUNTIFS(plots1!G:G, "&lt;" &amp; $B38, plots1!$I:$I, $O$20)</f>
        <v>37</v>
      </c>
      <c r="N38" s="2">
        <f>COUNTIFS(plots1!H:H, "&lt;" &amp; $B38, plots1!$I:$I, $O$20)</f>
        <v>56</v>
      </c>
    </row>
    <row r="39">
      <c r="A39" s="1">
        <v>37.0</v>
      </c>
      <c r="B39" s="2">
        <f t="shared" si="1"/>
        <v>70.79457844</v>
      </c>
      <c r="C39" s="2">
        <f>COUNTIF(plots1!D:D, "&lt;" &amp; $B39)</f>
        <v>88</v>
      </c>
      <c r="D39" s="2">
        <f>COUNTIF(plots1!E:E, "&lt;" &amp; $B39)</f>
        <v>245</v>
      </c>
      <c r="E39" s="2">
        <f>COUNTIF(plots1!F:F, "&lt;" &amp; $B39)</f>
        <v>258</v>
      </c>
      <c r="F39" s="2">
        <f>COUNTIF(plots1!G:G, "&lt;" &amp; $B39)</f>
        <v>316</v>
      </c>
      <c r="G39" s="2">
        <f>COUNTIF(plots1!H:H, "&lt;" &amp; $B39)</f>
        <v>433</v>
      </c>
      <c r="I39" s="2">
        <f t="shared" si="2"/>
        <v>70.79457844</v>
      </c>
      <c r="J39" s="2">
        <f>COUNTIFS(plots1!D:D, "&lt;" &amp; $B39, plots1!$I:$I, $O$20)</f>
        <v>15</v>
      </c>
      <c r="K39" s="2">
        <f>COUNTIFS(plots1!E:E, "&lt;" &amp; $B39, plots1!$I:$I, $O$20)</f>
        <v>40</v>
      </c>
      <c r="L39" s="2">
        <f>COUNTIFS(plots1!F:F, "&lt;" &amp; $B39, plots1!$I:$I, $O$20)</f>
        <v>44</v>
      </c>
      <c r="M39" s="2">
        <f>COUNTIFS(plots1!G:G, "&lt;" &amp; $B39, plots1!$I:$I, $O$20)</f>
        <v>38</v>
      </c>
      <c r="N39" s="2">
        <f>COUNTIFS(plots1!H:H, "&lt;" &amp; $B39, plots1!$I:$I, $O$20)</f>
        <v>60</v>
      </c>
    </row>
    <row r="40">
      <c r="A40" s="1">
        <v>38.0</v>
      </c>
      <c r="B40" s="2">
        <f t="shared" si="1"/>
        <v>79.43282347</v>
      </c>
      <c r="C40" s="2">
        <f>COUNTIF(plots1!D:D, "&lt;" &amp; $B40)</f>
        <v>88</v>
      </c>
      <c r="D40" s="2">
        <f>COUNTIF(plots1!E:E, "&lt;" &amp; $B40)</f>
        <v>254</v>
      </c>
      <c r="E40" s="2">
        <f>COUNTIF(plots1!F:F, "&lt;" &amp; $B40)</f>
        <v>258</v>
      </c>
      <c r="F40" s="2">
        <f>COUNTIF(plots1!G:G, "&lt;" &amp; $B40)</f>
        <v>327</v>
      </c>
      <c r="G40" s="2">
        <f>COUNTIF(plots1!H:H, "&lt;" &amp; $B40)</f>
        <v>439</v>
      </c>
      <c r="I40" s="2">
        <f t="shared" si="2"/>
        <v>79.43282347</v>
      </c>
      <c r="J40" s="2">
        <f>COUNTIFS(plots1!D:D, "&lt;" &amp; $B40, plots1!$I:$I, $O$20)</f>
        <v>15</v>
      </c>
      <c r="K40" s="2">
        <f>COUNTIFS(plots1!E:E, "&lt;" &amp; $B40, plots1!$I:$I, $O$20)</f>
        <v>40</v>
      </c>
      <c r="L40" s="2">
        <f>COUNTIFS(plots1!F:F, "&lt;" &amp; $B40, plots1!$I:$I, $O$20)</f>
        <v>44</v>
      </c>
      <c r="M40" s="2">
        <f>COUNTIFS(plots1!G:G, "&lt;" &amp; $B40, plots1!$I:$I, $O$20)</f>
        <v>47</v>
      </c>
      <c r="N40" s="2">
        <f>COUNTIFS(plots1!H:H, "&lt;" &amp; $B40, plots1!$I:$I, $O$20)</f>
        <v>60</v>
      </c>
    </row>
    <row r="41">
      <c r="A41" s="1">
        <v>39.0</v>
      </c>
      <c r="B41" s="2">
        <f t="shared" si="1"/>
        <v>89.12509381</v>
      </c>
      <c r="C41" s="2">
        <f>COUNTIF(plots1!D:D, "&lt;" &amp; $B41)</f>
        <v>89</v>
      </c>
      <c r="D41" s="2">
        <f>COUNTIF(plots1!E:E, "&lt;" &amp; $B41)</f>
        <v>255</v>
      </c>
      <c r="E41" s="2">
        <f>COUNTIF(plots1!F:F, "&lt;" &amp; $B41)</f>
        <v>259</v>
      </c>
      <c r="F41" s="2">
        <f>COUNTIF(plots1!G:G, "&lt;" &amp; $B41)</f>
        <v>342</v>
      </c>
      <c r="G41" s="2">
        <f>COUNTIF(plots1!H:H, "&lt;" &amp; $B41)</f>
        <v>442</v>
      </c>
      <c r="I41" s="2">
        <f t="shared" si="2"/>
        <v>89.12509381</v>
      </c>
      <c r="J41" s="2">
        <f>COUNTIFS(plots1!D:D, "&lt;" &amp; $B41, plots1!$I:$I, $O$20)</f>
        <v>15</v>
      </c>
      <c r="K41" s="2">
        <f>COUNTIFS(plots1!E:E, "&lt;" &amp; $B41, plots1!$I:$I, $O$20)</f>
        <v>40</v>
      </c>
      <c r="L41" s="2">
        <f>COUNTIFS(plots1!F:F, "&lt;" &amp; $B41, plots1!$I:$I, $O$20)</f>
        <v>45</v>
      </c>
      <c r="M41" s="2">
        <f>COUNTIFS(plots1!G:G, "&lt;" &amp; $B41, plots1!$I:$I, $O$20)</f>
        <v>47</v>
      </c>
      <c r="N41" s="2">
        <f>COUNTIFS(plots1!H:H, "&lt;" &amp; $B41, plots1!$I:$I, $O$20)</f>
        <v>62</v>
      </c>
    </row>
    <row r="42">
      <c r="A42" s="1">
        <v>40.0</v>
      </c>
      <c r="B42" s="2">
        <f t="shared" si="1"/>
        <v>100</v>
      </c>
      <c r="C42" s="2">
        <f>COUNTIF(plots1!D:D, "&lt;" &amp; $B42)</f>
        <v>89</v>
      </c>
      <c r="D42" s="2">
        <f>COUNTIF(plots1!E:E, "&lt;" &amp; $B42)</f>
        <v>260</v>
      </c>
      <c r="E42" s="2">
        <f>COUNTIF(plots1!F:F, "&lt;" &amp; $B42)</f>
        <v>265</v>
      </c>
      <c r="F42" s="2">
        <f>COUNTIF(plots1!G:G, "&lt;" &amp; $B42)</f>
        <v>358</v>
      </c>
      <c r="G42" s="2">
        <f>COUNTIF(plots1!H:H, "&lt;" &amp; $B42)</f>
        <v>442</v>
      </c>
      <c r="I42" s="2">
        <f t="shared" si="2"/>
        <v>100</v>
      </c>
      <c r="J42" s="2">
        <f>COUNTIFS(plots1!D:D, "&lt;" &amp; $B42, plots1!$I:$I, $O$20)</f>
        <v>15</v>
      </c>
      <c r="K42" s="2">
        <f>COUNTIFS(plots1!E:E, "&lt;" &amp; $B42, plots1!$I:$I, $O$20)</f>
        <v>44</v>
      </c>
      <c r="L42" s="2">
        <f>COUNTIFS(plots1!F:F, "&lt;" &amp; $B42, plots1!$I:$I, $O$20)</f>
        <v>49</v>
      </c>
      <c r="M42" s="2">
        <f>COUNTIFS(plots1!G:G, "&lt;" &amp; $B42, plots1!$I:$I, $O$20)</f>
        <v>47</v>
      </c>
      <c r="N42" s="2">
        <f>COUNTIFS(plots1!H:H, "&lt;" &amp; $B42, plots1!$I:$I, $O$20)</f>
        <v>62</v>
      </c>
    </row>
    <row r="43">
      <c r="A43" s="1">
        <v>41.0</v>
      </c>
      <c r="B43" s="2">
        <f t="shared" si="1"/>
        <v>112.2018454</v>
      </c>
      <c r="C43" s="2">
        <f>COUNTIF(plots1!D:D, "&lt;" &amp; $B43)</f>
        <v>89</v>
      </c>
      <c r="D43" s="2">
        <f>COUNTIF(plots1!E:E, "&lt;" &amp; $B43)</f>
        <v>262</v>
      </c>
      <c r="E43" s="2">
        <f>COUNTIF(plots1!F:F, "&lt;" &amp; $B43)</f>
        <v>268</v>
      </c>
      <c r="F43" s="2">
        <f>COUNTIF(plots1!G:G, "&lt;" &amp; $B43)</f>
        <v>372</v>
      </c>
      <c r="G43" s="2">
        <f>COUNTIF(plots1!H:H, "&lt;" &amp; $B43)</f>
        <v>445</v>
      </c>
      <c r="I43" s="2">
        <f t="shared" si="2"/>
        <v>112.2018454</v>
      </c>
      <c r="J43" s="2">
        <f>COUNTIFS(plots1!D:D, "&lt;" &amp; $B43, plots1!$I:$I, $O$20)</f>
        <v>15</v>
      </c>
      <c r="K43" s="2">
        <f>COUNTIFS(plots1!E:E, "&lt;" &amp; $B43, plots1!$I:$I, $O$20)</f>
        <v>44</v>
      </c>
      <c r="L43" s="2">
        <f>COUNTIFS(plots1!F:F, "&lt;" &amp; $B43, plots1!$I:$I, $O$20)</f>
        <v>50</v>
      </c>
      <c r="M43" s="2">
        <f>COUNTIFS(plots1!G:G, "&lt;" &amp; $B43, plots1!$I:$I, $O$20)</f>
        <v>47</v>
      </c>
      <c r="N43" s="2">
        <f>COUNTIFS(plots1!H:H, "&lt;" &amp; $B43, plots1!$I:$I, $O$20)</f>
        <v>62</v>
      </c>
    </row>
    <row r="44">
      <c r="A44" s="1">
        <v>42.0</v>
      </c>
      <c r="B44" s="2">
        <f t="shared" si="1"/>
        <v>125.8925412</v>
      </c>
      <c r="C44" s="2">
        <f>COUNTIF(plots1!D:D, "&lt;" &amp; $B44)</f>
        <v>92</v>
      </c>
      <c r="D44" s="2">
        <f>COUNTIF(plots1!E:E, "&lt;" &amp; $B44)</f>
        <v>268</v>
      </c>
      <c r="E44" s="2">
        <f>COUNTIF(plots1!F:F, "&lt;" &amp; $B44)</f>
        <v>272</v>
      </c>
      <c r="F44" s="2">
        <f>COUNTIF(plots1!G:G, "&lt;" &amp; $B44)</f>
        <v>382</v>
      </c>
      <c r="G44" s="2">
        <f>COUNTIF(plots1!H:H, "&lt;" &amp; $B44)</f>
        <v>450</v>
      </c>
      <c r="I44" s="2">
        <f t="shared" si="2"/>
        <v>125.8925412</v>
      </c>
      <c r="J44" s="2">
        <f>COUNTIFS(plots1!D:D, "&lt;" &amp; $B44, plots1!$I:$I, $O$20)</f>
        <v>17</v>
      </c>
      <c r="K44" s="2">
        <f>COUNTIFS(plots1!E:E, "&lt;" &amp; $B44, plots1!$I:$I, $O$20)</f>
        <v>45</v>
      </c>
      <c r="L44" s="2">
        <f>COUNTIFS(plots1!F:F, "&lt;" &amp; $B44, plots1!$I:$I, $O$20)</f>
        <v>50</v>
      </c>
      <c r="M44" s="2">
        <f>COUNTIFS(plots1!G:G, "&lt;" &amp; $B44, plots1!$I:$I, $O$20)</f>
        <v>47</v>
      </c>
      <c r="N44" s="2">
        <f>COUNTIFS(plots1!H:H, "&lt;" &amp; $B44, plots1!$I:$I, $O$20)</f>
        <v>64</v>
      </c>
    </row>
    <row r="45">
      <c r="A45" s="1">
        <v>43.0</v>
      </c>
      <c r="B45" s="2">
        <f t="shared" si="1"/>
        <v>141.2537545</v>
      </c>
      <c r="C45" s="2">
        <f>COUNTIF(plots1!D:D, "&lt;" &amp; $B45)</f>
        <v>104</v>
      </c>
      <c r="D45" s="2">
        <f>COUNTIF(plots1!E:E, "&lt;" &amp; $B45)</f>
        <v>273</v>
      </c>
      <c r="E45" s="2">
        <f>COUNTIF(plots1!F:F, "&lt;" &amp; $B45)</f>
        <v>277</v>
      </c>
      <c r="F45" s="2">
        <f>COUNTIF(plots1!G:G, "&lt;" &amp; $B45)</f>
        <v>385</v>
      </c>
      <c r="G45" s="2">
        <f>COUNTIF(plots1!H:H, "&lt;" &amp; $B45)</f>
        <v>456</v>
      </c>
      <c r="I45" s="2">
        <f t="shared" si="2"/>
        <v>141.2537545</v>
      </c>
      <c r="J45" s="2">
        <f>COUNTIFS(plots1!D:D, "&lt;" &amp; $B45, plots1!$I:$I, $O$20)</f>
        <v>25</v>
      </c>
      <c r="K45" s="2">
        <f>COUNTIFS(plots1!E:E, "&lt;" &amp; $B45, plots1!$I:$I, $O$20)</f>
        <v>46</v>
      </c>
      <c r="L45" s="2">
        <f>COUNTIFS(plots1!F:F, "&lt;" &amp; $B45, plots1!$I:$I, $O$20)</f>
        <v>50</v>
      </c>
      <c r="M45" s="2">
        <f>COUNTIFS(plots1!G:G, "&lt;" &amp; $B45, plots1!$I:$I, $O$20)</f>
        <v>48</v>
      </c>
      <c r="N45" s="2">
        <f>COUNTIFS(plots1!H:H, "&lt;" &amp; $B45, plots1!$I:$I, $O$20)</f>
        <v>65</v>
      </c>
    </row>
    <row r="46">
      <c r="A46" s="1">
        <v>44.0</v>
      </c>
      <c r="B46" s="2">
        <f t="shared" si="1"/>
        <v>158.4893192</v>
      </c>
      <c r="C46" s="2">
        <f>COUNTIF(plots1!D:D, "&lt;" &amp; $B46)</f>
        <v>109</v>
      </c>
      <c r="D46" s="2">
        <f>COUNTIF(plots1!E:E, "&lt;" &amp; $B46)</f>
        <v>294</v>
      </c>
      <c r="E46" s="2">
        <f>COUNTIF(plots1!F:F, "&lt;" &amp; $B46)</f>
        <v>278</v>
      </c>
      <c r="F46" s="2">
        <f>COUNTIF(plots1!G:G, "&lt;" &amp; $B46)</f>
        <v>393</v>
      </c>
      <c r="G46" s="2">
        <f>COUNTIF(plots1!H:H, "&lt;" &amp; $B46)</f>
        <v>459</v>
      </c>
      <c r="I46" s="2">
        <f t="shared" si="2"/>
        <v>158.4893192</v>
      </c>
      <c r="J46" s="2">
        <f>COUNTIFS(plots1!D:D, "&lt;" &amp; $B46, plots1!$I:$I, $O$20)</f>
        <v>25</v>
      </c>
      <c r="K46" s="2">
        <f>COUNTIFS(plots1!E:E, "&lt;" &amp; $B46, plots1!$I:$I, $O$20)</f>
        <v>46</v>
      </c>
      <c r="L46" s="2">
        <f>COUNTIFS(plots1!F:F, "&lt;" &amp; $B46, plots1!$I:$I, $O$20)</f>
        <v>50</v>
      </c>
      <c r="M46" s="2">
        <f>COUNTIFS(plots1!G:G, "&lt;" &amp; $B46, plots1!$I:$I, $O$20)</f>
        <v>50</v>
      </c>
      <c r="N46" s="2">
        <f>COUNTIFS(plots1!H:H, "&lt;" &amp; $B46, plots1!$I:$I, $O$20)</f>
        <v>66</v>
      </c>
    </row>
    <row r="47">
      <c r="A47" s="1">
        <v>45.0</v>
      </c>
      <c r="B47" s="2">
        <f t="shared" si="1"/>
        <v>177.827941</v>
      </c>
      <c r="C47" s="2">
        <f>COUNTIF(plots1!D:D, "&lt;" &amp; $B47)</f>
        <v>122</v>
      </c>
      <c r="D47" s="2">
        <f>COUNTIF(plots1!E:E, "&lt;" &amp; $B47)</f>
        <v>294</v>
      </c>
      <c r="E47" s="2">
        <f>COUNTIF(plots1!F:F, "&lt;" &amp; $B47)</f>
        <v>278</v>
      </c>
      <c r="F47" s="2">
        <f>COUNTIF(plots1!G:G, "&lt;" &amp; $B47)</f>
        <v>396</v>
      </c>
      <c r="G47" s="2">
        <f>COUNTIF(plots1!H:H, "&lt;" &amp; $B47)</f>
        <v>459</v>
      </c>
      <c r="I47" s="2">
        <f t="shared" si="2"/>
        <v>177.827941</v>
      </c>
      <c r="J47" s="2">
        <f>COUNTIFS(plots1!D:D, "&lt;" &amp; $B47, plots1!$I:$I, $O$20)</f>
        <v>26</v>
      </c>
      <c r="K47" s="2">
        <f>COUNTIFS(plots1!E:E, "&lt;" &amp; $B47, plots1!$I:$I, $O$20)</f>
        <v>46</v>
      </c>
      <c r="L47" s="2">
        <f>COUNTIFS(plots1!F:F, "&lt;" &amp; $B47, plots1!$I:$I, $O$20)</f>
        <v>50</v>
      </c>
      <c r="M47" s="2">
        <f>COUNTIFS(plots1!G:G, "&lt;" &amp; $B47, plots1!$I:$I, $O$20)</f>
        <v>50</v>
      </c>
      <c r="N47" s="2">
        <f>COUNTIFS(plots1!H:H, "&lt;" &amp; $B47, plots1!$I:$I, $O$20)</f>
        <v>66</v>
      </c>
    </row>
    <row r="48">
      <c r="A48" s="1">
        <v>46.0</v>
      </c>
      <c r="B48" s="2">
        <f t="shared" si="1"/>
        <v>199.5262315</v>
      </c>
      <c r="C48" s="2">
        <f>COUNTIF(plots1!D:D, "&lt;" &amp; $B48)</f>
        <v>124</v>
      </c>
      <c r="D48" s="2">
        <f>COUNTIF(plots1!E:E, "&lt;" &amp; $B48)</f>
        <v>295</v>
      </c>
      <c r="E48" s="2">
        <f>COUNTIF(plots1!F:F, "&lt;" &amp; $B48)</f>
        <v>285</v>
      </c>
      <c r="F48" s="2">
        <f>COUNTIF(plots1!G:G, "&lt;" &amp; $B48)</f>
        <v>396</v>
      </c>
      <c r="G48" s="2">
        <f>COUNTIF(plots1!H:H, "&lt;" &amp; $B48)</f>
        <v>460</v>
      </c>
      <c r="I48" s="2">
        <f t="shared" si="2"/>
        <v>199.5262315</v>
      </c>
      <c r="J48" s="2">
        <f>COUNTIFS(plots1!D:D, "&lt;" &amp; $B48, plots1!$I:$I, $O$20)</f>
        <v>28</v>
      </c>
      <c r="K48" s="2">
        <f>COUNTIFS(plots1!E:E, "&lt;" &amp; $B48, plots1!$I:$I, $O$20)</f>
        <v>47</v>
      </c>
      <c r="L48" s="2">
        <f>COUNTIFS(plots1!F:F, "&lt;" &amp; $B48, plots1!$I:$I, $O$20)</f>
        <v>51</v>
      </c>
      <c r="M48" s="2">
        <f>COUNTIFS(plots1!G:G, "&lt;" &amp; $B48, plots1!$I:$I, $O$20)</f>
        <v>50</v>
      </c>
      <c r="N48" s="2">
        <f>COUNTIFS(plots1!H:H, "&lt;" &amp; $B48, plots1!$I:$I, $O$20)</f>
        <v>67</v>
      </c>
    </row>
    <row r="49">
      <c r="A49" s="1">
        <v>47.0</v>
      </c>
      <c r="B49" s="2">
        <f t="shared" si="1"/>
        <v>223.8721139</v>
      </c>
      <c r="C49" s="2">
        <f>COUNTIF(plots1!D:D, "&lt;" &amp; $B49)</f>
        <v>127</v>
      </c>
      <c r="D49" s="2">
        <f>COUNTIF(plots1!E:E, "&lt;" &amp; $B49)</f>
        <v>296</v>
      </c>
      <c r="E49" s="2">
        <f>COUNTIF(plots1!F:F, "&lt;" &amp; $B49)</f>
        <v>306</v>
      </c>
      <c r="F49" s="2">
        <f>COUNTIF(plots1!G:G, "&lt;" &amp; $B49)</f>
        <v>399</v>
      </c>
      <c r="G49" s="2">
        <f>COUNTIF(plots1!H:H, "&lt;" &amp; $B49)</f>
        <v>481</v>
      </c>
      <c r="I49" s="2">
        <f t="shared" si="2"/>
        <v>223.8721139</v>
      </c>
      <c r="J49" s="2">
        <f>COUNTIFS(plots1!D:D, "&lt;" &amp; $B49, plots1!$I:$I, $O$20)</f>
        <v>29</v>
      </c>
      <c r="K49" s="2">
        <f>COUNTIFS(plots1!E:E, "&lt;" &amp; $B49, plots1!$I:$I, $O$20)</f>
        <v>47</v>
      </c>
      <c r="L49" s="2">
        <f>COUNTIFS(plots1!F:F, "&lt;" &amp; $B49, plots1!$I:$I, $O$20)</f>
        <v>51</v>
      </c>
      <c r="M49" s="2">
        <f>COUNTIFS(plots1!G:G, "&lt;" &amp; $B49, plots1!$I:$I, $O$20)</f>
        <v>50</v>
      </c>
      <c r="N49" s="2">
        <f>COUNTIFS(plots1!H:H, "&lt;" &amp; $B49, plots1!$I:$I, $O$20)</f>
        <v>67</v>
      </c>
    </row>
    <row r="50">
      <c r="A50" s="1">
        <v>48.0</v>
      </c>
      <c r="B50" s="2">
        <f t="shared" si="1"/>
        <v>251.1886432</v>
      </c>
      <c r="C50" s="2">
        <f>COUNTIF(plots1!D:D, "&lt;" &amp; $B50)</f>
        <v>127</v>
      </c>
      <c r="D50" s="2">
        <f>COUNTIF(plots1!E:E, "&lt;" &amp; $B50)</f>
        <v>299</v>
      </c>
      <c r="E50" s="2">
        <f>COUNTIF(plots1!F:F, "&lt;" &amp; $B50)</f>
        <v>311</v>
      </c>
      <c r="F50" s="2">
        <f>COUNTIF(plots1!G:G, "&lt;" &amp; $B50)</f>
        <v>400</v>
      </c>
      <c r="G50" s="2">
        <f>COUNTIF(plots1!H:H, "&lt;" &amp; $B50)</f>
        <v>497</v>
      </c>
      <c r="I50" s="2">
        <f t="shared" si="2"/>
        <v>251.1886432</v>
      </c>
      <c r="J50" s="2">
        <f>COUNTIFS(plots1!D:D, "&lt;" &amp; $B50, plots1!$I:$I, $O$20)</f>
        <v>29</v>
      </c>
      <c r="K50" s="2">
        <f>COUNTIFS(plots1!E:E, "&lt;" &amp; $B50, plots1!$I:$I, $O$20)</f>
        <v>50</v>
      </c>
      <c r="L50" s="2">
        <f>COUNTIFS(plots1!F:F, "&lt;" &amp; $B50, plots1!$I:$I, $O$20)</f>
        <v>52</v>
      </c>
      <c r="M50" s="2">
        <f>COUNTIFS(plots1!G:G, "&lt;" &amp; $B50, plots1!$I:$I, $O$20)</f>
        <v>50</v>
      </c>
      <c r="N50" s="2">
        <f>COUNTIFS(plots1!H:H, "&lt;" &amp; $B50, plots1!$I:$I, $O$20)</f>
        <v>72</v>
      </c>
    </row>
    <row r="51">
      <c r="A51" s="1">
        <v>49.0</v>
      </c>
      <c r="B51" s="2">
        <f t="shared" si="1"/>
        <v>281.8382931</v>
      </c>
      <c r="C51" s="2">
        <f>COUNTIF(plots1!D:D, "&lt;" &amp; $B51)</f>
        <v>135</v>
      </c>
      <c r="D51" s="2">
        <f>COUNTIF(plots1!E:E, "&lt;" &amp; $B51)</f>
        <v>310</v>
      </c>
      <c r="E51" s="2">
        <f>COUNTIF(plots1!F:F, "&lt;" &amp; $B51)</f>
        <v>315</v>
      </c>
      <c r="F51" s="2">
        <f>COUNTIF(plots1!G:G, "&lt;" &amp; $B51)</f>
        <v>407</v>
      </c>
      <c r="G51" s="2">
        <f>COUNTIF(plots1!H:H, "&lt;" &amp; $B51)</f>
        <v>501</v>
      </c>
      <c r="I51" s="2">
        <f t="shared" si="2"/>
        <v>281.8382931</v>
      </c>
      <c r="J51" s="2">
        <f>COUNTIFS(plots1!D:D, "&lt;" &amp; $B51, plots1!$I:$I, $O$20)</f>
        <v>29</v>
      </c>
      <c r="K51" s="2">
        <f>COUNTIFS(plots1!E:E, "&lt;" &amp; $B51, plots1!$I:$I, $O$20)</f>
        <v>53</v>
      </c>
      <c r="L51" s="2">
        <f>COUNTIFS(plots1!F:F, "&lt;" &amp; $B51, plots1!$I:$I, $O$20)</f>
        <v>56</v>
      </c>
      <c r="M51" s="2">
        <f>COUNTIFS(plots1!G:G, "&lt;" &amp; $B51, plots1!$I:$I, $O$20)</f>
        <v>51</v>
      </c>
      <c r="N51" s="2">
        <f>COUNTIFS(plots1!H:H, "&lt;" &amp; $B51, plots1!$I:$I, $O$20)</f>
        <v>73</v>
      </c>
    </row>
    <row r="52">
      <c r="A52" s="1">
        <v>50.0</v>
      </c>
      <c r="B52" s="2">
        <f t="shared" si="1"/>
        <v>316.227766</v>
      </c>
      <c r="C52" s="2">
        <f>COUNTIF(plots1!D:D, "&lt;" &amp; $B52)</f>
        <v>141</v>
      </c>
      <c r="D52" s="2">
        <f>COUNTIF(plots1!E:E, "&lt;" &amp; $B52)</f>
        <v>333</v>
      </c>
      <c r="E52" s="2">
        <f>COUNTIF(plots1!F:F, "&lt;" &amp; $B52)</f>
        <v>327</v>
      </c>
      <c r="F52" s="2">
        <f>COUNTIF(plots1!G:G, "&lt;" &amp; $B52)</f>
        <v>427</v>
      </c>
      <c r="G52" s="2">
        <f>COUNTIF(plots1!H:H, "&lt;" &amp; $B52)</f>
        <v>506</v>
      </c>
      <c r="I52" s="2">
        <f t="shared" si="2"/>
        <v>316.227766</v>
      </c>
      <c r="J52" s="2">
        <f>COUNTIFS(plots1!D:D, "&lt;" &amp; $B52, plots1!$I:$I, $O$20)</f>
        <v>29</v>
      </c>
      <c r="K52" s="2">
        <f>COUNTIFS(plots1!E:E, "&lt;" &amp; $B52, plots1!$I:$I, $O$20)</f>
        <v>53</v>
      </c>
      <c r="L52" s="2">
        <f>COUNTIFS(plots1!F:F, "&lt;" &amp; $B52, plots1!$I:$I, $O$20)</f>
        <v>58</v>
      </c>
      <c r="M52" s="2">
        <f>COUNTIFS(plots1!G:G, "&lt;" &amp; $B52, plots1!$I:$I, $O$20)</f>
        <v>59</v>
      </c>
      <c r="N52" s="2">
        <f>COUNTIFS(plots1!H:H, "&lt;" &amp; $B52, plots1!$I:$I, $O$20)</f>
        <v>73</v>
      </c>
    </row>
    <row r="53">
      <c r="A53" s="1">
        <v>51.0</v>
      </c>
      <c r="B53" s="2">
        <f t="shared" si="1"/>
        <v>354.8133892</v>
      </c>
      <c r="C53" s="2">
        <f>COUNTIF(plots1!D:D, "&lt;" &amp; $B53)</f>
        <v>151</v>
      </c>
      <c r="D53" s="2">
        <f>COUNTIF(plots1!E:E, "&lt;" &amp; $B53)</f>
        <v>336</v>
      </c>
      <c r="E53" s="2">
        <f>COUNTIF(plots1!F:F, "&lt;" &amp; $B53)</f>
        <v>329</v>
      </c>
      <c r="F53" s="2">
        <f>COUNTIF(plots1!G:G, "&lt;" &amp; $B53)</f>
        <v>429</v>
      </c>
      <c r="G53" s="2">
        <f>COUNTIF(plots1!H:H, "&lt;" &amp; $B53)</f>
        <v>507</v>
      </c>
      <c r="I53" s="2">
        <f t="shared" si="2"/>
        <v>354.8133892</v>
      </c>
      <c r="J53" s="2">
        <f>COUNTIFS(plots1!D:D, "&lt;" &amp; $B53, plots1!$I:$I, $O$20)</f>
        <v>29</v>
      </c>
      <c r="K53" s="2">
        <f>COUNTIFS(plots1!E:E, "&lt;" &amp; $B53, plots1!$I:$I, $O$20)</f>
        <v>53</v>
      </c>
      <c r="L53" s="2">
        <f>COUNTIFS(plots1!F:F, "&lt;" &amp; $B53, plots1!$I:$I, $O$20)</f>
        <v>59</v>
      </c>
      <c r="M53" s="2">
        <f>COUNTIFS(plots1!G:G, "&lt;" &amp; $B53, plots1!$I:$I, $O$20)</f>
        <v>59</v>
      </c>
      <c r="N53" s="2">
        <f>COUNTIFS(plots1!H:H, "&lt;" &amp; $B53, plots1!$I:$I, $O$20)</f>
        <v>73</v>
      </c>
    </row>
    <row r="54">
      <c r="A54" s="1">
        <v>52.0</v>
      </c>
      <c r="B54" s="2">
        <f t="shared" si="1"/>
        <v>398.1071706</v>
      </c>
      <c r="C54" s="2">
        <f>COUNTIF(plots1!D:D, "&lt;" &amp; $B54)</f>
        <v>160</v>
      </c>
      <c r="D54" s="2">
        <f>COUNTIF(plots1!E:E, "&lt;" &amp; $B54)</f>
        <v>336</v>
      </c>
      <c r="E54" s="2">
        <f>COUNTIF(plots1!F:F, "&lt;" &amp; $B54)</f>
        <v>330</v>
      </c>
      <c r="F54" s="2">
        <f>COUNTIF(plots1!G:G, "&lt;" &amp; $B54)</f>
        <v>452</v>
      </c>
      <c r="G54" s="2">
        <f>COUNTIF(plots1!H:H, "&lt;" &amp; $B54)</f>
        <v>508</v>
      </c>
      <c r="I54" s="2">
        <f t="shared" si="2"/>
        <v>398.1071706</v>
      </c>
      <c r="J54" s="2">
        <f>COUNTIFS(plots1!D:D, "&lt;" &amp; $B54, plots1!$I:$I, $O$20)</f>
        <v>31</v>
      </c>
      <c r="K54" s="2">
        <f>COUNTIFS(plots1!E:E, "&lt;" &amp; $B54, plots1!$I:$I, $O$20)</f>
        <v>53</v>
      </c>
      <c r="L54" s="2">
        <f>COUNTIFS(plots1!F:F, "&lt;" &amp; $B54, plots1!$I:$I, $O$20)</f>
        <v>60</v>
      </c>
      <c r="M54" s="2">
        <f>COUNTIFS(plots1!G:G, "&lt;" &amp; $B54, plots1!$I:$I, $O$20)</f>
        <v>60</v>
      </c>
      <c r="N54" s="2">
        <f>COUNTIFS(plots1!H:H, "&lt;" &amp; $B54, plots1!$I:$I, $O$20)</f>
        <v>74</v>
      </c>
    </row>
    <row r="55">
      <c r="A55" s="1">
        <v>53.0</v>
      </c>
      <c r="B55" s="2">
        <f t="shared" si="1"/>
        <v>446.6835922</v>
      </c>
      <c r="C55" s="2">
        <f>COUNTIF(plots1!D:D, "&lt;" &amp; $B55)</f>
        <v>160</v>
      </c>
      <c r="D55" s="2">
        <f>COUNTIF(plots1!E:E, "&lt;" &amp; $B55)</f>
        <v>350</v>
      </c>
      <c r="E55" s="2">
        <f>COUNTIF(plots1!F:F, "&lt;" &amp; $B55)</f>
        <v>339</v>
      </c>
      <c r="F55" s="2">
        <f>COUNTIF(plots1!G:G, "&lt;" &amp; $B55)</f>
        <v>459</v>
      </c>
      <c r="G55" s="2">
        <f>COUNTIF(plots1!H:H, "&lt;" &amp; $B55)</f>
        <v>519</v>
      </c>
      <c r="I55" s="2">
        <f t="shared" si="2"/>
        <v>446.6835922</v>
      </c>
      <c r="J55" s="2">
        <f>COUNTIFS(plots1!D:D, "&lt;" &amp; $B55, plots1!$I:$I, $O$20)</f>
        <v>31</v>
      </c>
      <c r="K55" s="2">
        <f>COUNTIFS(plots1!E:E, "&lt;" &amp; $B55, plots1!$I:$I, $O$20)</f>
        <v>56</v>
      </c>
      <c r="L55" s="2">
        <f>COUNTIFS(plots1!F:F, "&lt;" &amp; $B55, plots1!$I:$I, $O$20)</f>
        <v>60</v>
      </c>
      <c r="M55" s="2">
        <f>COUNTIFS(plots1!G:G, "&lt;" &amp; $B55, plots1!$I:$I, $O$20)</f>
        <v>60</v>
      </c>
      <c r="N55" s="2">
        <f>COUNTIFS(plots1!H:H, "&lt;" &amp; $B55, plots1!$I:$I, $O$20)</f>
        <v>75</v>
      </c>
    </row>
    <row r="56">
      <c r="A56" s="1">
        <v>54.0</v>
      </c>
      <c r="B56" s="2">
        <f t="shared" si="1"/>
        <v>501.1872336</v>
      </c>
      <c r="C56" s="2">
        <f>COUNTIF(plots1!D:D, "&lt;" &amp; $B56)</f>
        <v>160</v>
      </c>
      <c r="D56" s="2">
        <f>COUNTIF(plots1!E:E, "&lt;" &amp; $B56)</f>
        <v>352</v>
      </c>
      <c r="E56" s="2">
        <f>COUNTIF(plots1!F:F, "&lt;" &amp; $B56)</f>
        <v>350</v>
      </c>
      <c r="F56" s="2">
        <f>COUNTIF(plots1!G:G, "&lt;" &amp; $B56)</f>
        <v>462</v>
      </c>
      <c r="G56" s="2">
        <f>COUNTIF(plots1!H:H, "&lt;" &amp; $B56)</f>
        <v>525</v>
      </c>
      <c r="I56" s="2">
        <f t="shared" si="2"/>
        <v>501.1872336</v>
      </c>
      <c r="J56" s="2">
        <f>COUNTIFS(plots1!D:D, "&lt;" &amp; $B56, plots1!$I:$I, $O$20)</f>
        <v>31</v>
      </c>
      <c r="K56" s="2">
        <f>COUNTIFS(plots1!E:E, "&lt;" &amp; $B56, plots1!$I:$I, $O$20)</f>
        <v>56</v>
      </c>
      <c r="L56" s="2">
        <f>COUNTIFS(plots1!F:F, "&lt;" &amp; $B56, plots1!$I:$I, $O$20)</f>
        <v>64</v>
      </c>
      <c r="M56" s="2">
        <f>COUNTIFS(plots1!G:G, "&lt;" &amp; $B56, plots1!$I:$I, $O$20)</f>
        <v>61</v>
      </c>
      <c r="N56" s="2">
        <f>COUNTIFS(plots1!H:H, "&lt;" &amp; $B56, plots1!$I:$I, $O$20)</f>
        <v>76</v>
      </c>
    </row>
    <row r="57">
      <c r="A57" s="1">
        <v>55.0</v>
      </c>
      <c r="B57" s="2">
        <f t="shared" si="1"/>
        <v>562.3413252</v>
      </c>
      <c r="C57" s="2">
        <f>COUNTIF(plots1!D:D, "&lt;" &amp; $B57)</f>
        <v>160</v>
      </c>
      <c r="D57" s="2">
        <f>COUNTIF(plots1!E:E, "&lt;" &amp; $B57)</f>
        <v>353</v>
      </c>
      <c r="E57" s="2">
        <f>COUNTIF(plots1!F:F, "&lt;" &amp; $B57)</f>
        <v>354</v>
      </c>
      <c r="F57" s="2">
        <f>COUNTIF(plots1!G:G, "&lt;" &amp; $B57)</f>
        <v>462</v>
      </c>
      <c r="G57" s="2">
        <f>COUNTIF(plots1!H:H, "&lt;" &amp; $B57)</f>
        <v>529</v>
      </c>
      <c r="I57" s="2">
        <f t="shared" si="2"/>
        <v>562.3413252</v>
      </c>
      <c r="J57" s="2">
        <f>COUNTIFS(plots1!D:D, "&lt;" &amp; $B57, plots1!$I:$I, $O$20)</f>
        <v>31</v>
      </c>
      <c r="K57" s="2">
        <f>COUNTIFS(plots1!E:E, "&lt;" &amp; $B57, plots1!$I:$I, $O$20)</f>
        <v>56</v>
      </c>
      <c r="L57" s="2">
        <f>COUNTIFS(plots1!F:F, "&lt;" &amp; $B57, plots1!$I:$I, $O$20)</f>
        <v>64</v>
      </c>
      <c r="M57" s="2">
        <f>COUNTIFS(plots1!G:G, "&lt;" &amp; $B57, plots1!$I:$I, $O$20)</f>
        <v>61</v>
      </c>
      <c r="N57" s="2">
        <f>COUNTIFS(plots1!H:H, "&lt;" &amp; $B57, plots1!$I:$I, $O$20)</f>
        <v>76</v>
      </c>
    </row>
    <row r="58">
      <c r="A58" s="1">
        <v>56.0</v>
      </c>
      <c r="B58" s="2">
        <f t="shared" si="1"/>
        <v>630.9573445</v>
      </c>
      <c r="C58" s="2">
        <f>COUNTIF(plots1!D:D, "&lt;" &amp; $B58)</f>
        <v>160</v>
      </c>
      <c r="D58" s="2">
        <f>COUNTIF(plots1!E:E, "&lt;" &amp; $B58)</f>
        <v>353</v>
      </c>
      <c r="E58" s="2">
        <f>COUNTIF(plots1!F:F, "&lt;" &amp; $B58)</f>
        <v>354</v>
      </c>
      <c r="F58" s="2">
        <f>COUNTIF(plots1!G:G, "&lt;" &amp; $B58)</f>
        <v>463</v>
      </c>
      <c r="G58" s="2">
        <f>COUNTIF(plots1!H:H, "&lt;" &amp; $B58)</f>
        <v>530</v>
      </c>
      <c r="I58" s="2">
        <f t="shared" si="2"/>
        <v>630.9573445</v>
      </c>
      <c r="J58" s="2">
        <f>COUNTIFS(plots1!D:D, "&lt;" &amp; $B58, plots1!$I:$I, $O$20)</f>
        <v>31</v>
      </c>
      <c r="K58" s="2">
        <f>COUNTIFS(plots1!E:E, "&lt;" &amp; $B58, plots1!$I:$I, $O$20)</f>
        <v>56</v>
      </c>
      <c r="L58" s="2">
        <f>COUNTIFS(plots1!F:F, "&lt;" &amp; $B58, plots1!$I:$I, $O$20)</f>
        <v>64</v>
      </c>
      <c r="M58" s="2">
        <f>COUNTIFS(plots1!G:G, "&lt;" &amp; $B58, plots1!$I:$I, $O$20)</f>
        <v>61</v>
      </c>
      <c r="N58" s="2">
        <f>COUNTIFS(plots1!H:H, "&lt;" &amp; $B58, plots1!$I:$I, $O$20)</f>
        <v>76</v>
      </c>
    </row>
    <row r="59">
      <c r="A59" s="1">
        <v>57.0</v>
      </c>
      <c r="B59" s="2">
        <f t="shared" si="1"/>
        <v>707.9457844</v>
      </c>
      <c r="C59" s="2">
        <f>COUNTIF(plots1!D:D, "&lt;" &amp; $B59)</f>
        <v>161</v>
      </c>
      <c r="D59" s="2">
        <f>COUNTIF(plots1!E:E, "&lt;" &amp; $B59)</f>
        <v>354</v>
      </c>
      <c r="E59" s="2">
        <f>COUNTIF(plots1!F:F, "&lt;" &amp; $B59)</f>
        <v>366</v>
      </c>
      <c r="F59" s="2">
        <f>COUNTIF(plots1!G:G, "&lt;" &amp; $B59)</f>
        <v>472</v>
      </c>
      <c r="G59" s="2">
        <f>COUNTIF(plots1!H:H, "&lt;" &amp; $B59)</f>
        <v>540</v>
      </c>
      <c r="I59" s="2">
        <f t="shared" si="2"/>
        <v>707.9457844</v>
      </c>
      <c r="J59" s="2">
        <f>COUNTIFS(plots1!D:D, "&lt;" &amp; $B59, plots1!$I:$I, $O$20)</f>
        <v>32</v>
      </c>
      <c r="K59" s="2">
        <f>COUNTIFS(plots1!E:E, "&lt;" &amp; $B59, plots1!$I:$I, $O$20)</f>
        <v>56</v>
      </c>
      <c r="L59" s="2">
        <f>COUNTIFS(plots1!F:F, "&lt;" &amp; $B59, plots1!$I:$I, $O$20)</f>
        <v>64</v>
      </c>
      <c r="M59" s="2">
        <f>COUNTIFS(plots1!G:G, "&lt;" &amp; $B59, plots1!$I:$I, $O$20)</f>
        <v>61</v>
      </c>
      <c r="N59" s="2">
        <f>COUNTIFS(plots1!H:H, "&lt;" &amp; $B59, plots1!$I:$I, $O$20)</f>
        <v>76</v>
      </c>
    </row>
    <row r="60">
      <c r="A60" s="1">
        <v>58.0</v>
      </c>
      <c r="B60" s="2">
        <f t="shared" si="1"/>
        <v>794.3282347</v>
      </c>
      <c r="C60" s="2">
        <f>COUNTIF(plots1!D:D, "&lt;" &amp; $B60)</f>
        <v>166</v>
      </c>
      <c r="D60" s="2">
        <f>COUNTIF(plots1!E:E, "&lt;" &amp; $B60)</f>
        <v>356</v>
      </c>
      <c r="E60" s="2">
        <f>COUNTIF(plots1!F:F, "&lt;" &amp; $B60)</f>
        <v>368</v>
      </c>
      <c r="F60" s="2">
        <f>COUNTIF(plots1!G:G, "&lt;" &amp; $B60)</f>
        <v>475</v>
      </c>
      <c r="G60" s="2">
        <f>COUNTIF(plots1!H:H, "&lt;" &amp; $B60)</f>
        <v>540</v>
      </c>
      <c r="I60" s="2">
        <f t="shared" si="2"/>
        <v>794.3282347</v>
      </c>
      <c r="J60" s="2">
        <f>COUNTIFS(plots1!D:D, "&lt;" &amp; $B60, plots1!$I:$I, $O$20)</f>
        <v>35</v>
      </c>
      <c r="K60" s="2">
        <f>COUNTIFS(plots1!E:E, "&lt;" &amp; $B60, plots1!$I:$I, $O$20)</f>
        <v>58</v>
      </c>
      <c r="L60" s="2">
        <f>COUNTIFS(plots1!F:F, "&lt;" &amp; $B60, plots1!$I:$I, $O$20)</f>
        <v>66</v>
      </c>
      <c r="M60" s="2">
        <f>COUNTIFS(plots1!G:G, "&lt;" &amp; $B60, plots1!$I:$I, $O$20)</f>
        <v>62</v>
      </c>
      <c r="N60" s="2">
        <f>COUNTIFS(plots1!H:H, "&lt;" &amp; $B60, plots1!$I:$I, $O$20)</f>
        <v>76</v>
      </c>
    </row>
    <row r="61">
      <c r="A61" s="1">
        <v>59.0</v>
      </c>
      <c r="B61" s="2">
        <f t="shared" si="1"/>
        <v>891.2509381</v>
      </c>
      <c r="C61" s="2">
        <f>COUNTIF(plots1!D:D, "&lt;" &amp; $B61)</f>
        <v>175</v>
      </c>
      <c r="D61" s="2">
        <f>COUNTIF(plots1!E:E, "&lt;" &amp; $B61)</f>
        <v>360</v>
      </c>
      <c r="E61" s="2">
        <f>COUNTIF(plots1!F:F, "&lt;" &amp; $B61)</f>
        <v>368</v>
      </c>
      <c r="F61" s="2">
        <f>COUNTIF(plots1!G:G, "&lt;" &amp; $B61)</f>
        <v>475</v>
      </c>
      <c r="G61" s="2">
        <f>COUNTIF(plots1!H:H, "&lt;" &amp; $B61)</f>
        <v>542</v>
      </c>
      <c r="I61" s="2">
        <f t="shared" si="2"/>
        <v>891.2509381</v>
      </c>
      <c r="J61" s="2">
        <f>COUNTIFS(plots1!D:D, "&lt;" &amp; $B61, plots1!$I:$I, $O$20)</f>
        <v>35</v>
      </c>
      <c r="K61" s="2">
        <f>COUNTIFS(plots1!E:E, "&lt;" &amp; $B61, plots1!$I:$I, $O$20)</f>
        <v>62</v>
      </c>
      <c r="L61" s="2">
        <f>COUNTIFS(plots1!F:F, "&lt;" &amp; $B61, plots1!$I:$I, $O$20)</f>
        <v>66</v>
      </c>
      <c r="M61" s="2">
        <f>COUNTIFS(plots1!G:G, "&lt;" &amp; $B61, plots1!$I:$I, $O$20)</f>
        <v>62</v>
      </c>
      <c r="N61" s="2">
        <f>COUNTIFS(plots1!H:H, "&lt;" &amp; $B61, plots1!$I:$I, $O$20)</f>
        <v>78</v>
      </c>
    </row>
    <row r="62">
      <c r="A62" s="1">
        <v>60.0</v>
      </c>
      <c r="B62" s="2">
        <f t="shared" si="1"/>
        <v>1000</v>
      </c>
      <c r="C62" s="2">
        <f>COUNTIF(plots1!D:D, "&lt;" &amp; $B62)</f>
        <v>177</v>
      </c>
      <c r="D62" s="2">
        <f>COUNTIF(plots1!E:E, "&lt;" &amp; $B62)</f>
        <v>363</v>
      </c>
      <c r="E62" s="2">
        <f>COUNTIF(plots1!F:F, "&lt;" &amp; $B62)</f>
        <v>368</v>
      </c>
      <c r="F62" s="2">
        <f>COUNTIF(plots1!G:G, "&lt;" &amp; $B62)</f>
        <v>486</v>
      </c>
      <c r="G62" s="2">
        <f>COUNTIF(plots1!H:H, "&lt;" &amp; $B62)</f>
        <v>544</v>
      </c>
      <c r="I62" s="2">
        <f t="shared" si="2"/>
        <v>1000</v>
      </c>
      <c r="J62" s="2">
        <f>COUNTIFS(plots1!D:D, "&lt;" &amp; $B62, plots1!$I:$I, $O$20)</f>
        <v>35</v>
      </c>
      <c r="K62" s="2">
        <f>COUNTIFS(plots1!E:E, "&lt;" &amp; $B62, plots1!$I:$I, $O$20)</f>
        <v>62</v>
      </c>
      <c r="L62" s="2">
        <f>COUNTIFS(plots1!F:F, "&lt;" &amp; $B62, plots1!$I:$I, $O$20)</f>
        <v>66</v>
      </c>
      <c r="M62" s="2">
        <f>COUNTIFS(plots1!G:G, "&lt;" &amp; $B62, plots1!$I:$I, $O$20)</f>
        <v>63</v>
      </c>
      <c r="N62" s="2">
        <f>COUNTIFS(plots1!H:H, "&lt;" &amp; $B62, plots1!$I:$I, $O$20)</f>
        <v>80</v>
      </c>
    </row>
    <row r="63">
      <c r="A63" s="1">
        <v>61.0</v>
      </c>
      <c r="B63" s="2">
        <f t="shared" si="1"/>
        <v>1122.018454</v>
      </c>
      <c r="C63" s="2">
        <f>COUNTIF(plots1!D:D, "&lt;" &amp; $B63)</f>
        <v>177</v>
      </c>
      <c r="D63" s="2">
        <f>COUNTIF(plots1!E:E, "&lt;" &amp; $B63)</f>
        <v>363</v>
      </c>
      <c r="E63" s="2">
        <f>COUNTIF(plots1!F:F, "&lt;" &amp; $B63)</f>
        <v>368</v>
      </c>
      <c r="F63" s="2">
        <f>COUNTIF(plots1!G:G, "&lt;" &amp; $B63)</f>
        <v>494</v>
      </c>
      <c r="G63" s="2">
        <f>COUNTIF(plots1!H:H, "&lt;" &amp; $B63)</f>
        <v>544</v>
      </c>
      <c r="I63" s="2">
        <f t="shared" si="2"/>
        <v>1122.018454</v>
      </c>
      <c r="J63" s="2">
        <f>COUNTIFS(plots1!D:D, "&lt;" &amp; $B63, plots1!$I:$I, $O$20)</f>
        <v>35</v>
      </c>
      <c r="K63" s="2">
        <f>COUNTIFS(plots1!E:E, "&lt;" &amp; $B63, plots1!$I:$I, $O$20)</f>
        <v>62</v>
      </c>
      <c r="L63" s="2">
        <f>COUNTIFS(plots1!F:F, "&lt;" &amp; $B63, plots1!$I:$I, $O$20)</f>
        <v>66</v>
      </c>
      <c r="M63" s="2">
        <f>COUNTIFS(plots1!G:G, "&lt;" &amp; $B63, plots1!$I:$I, $O$20)</f>
        <v>67</v>
      </c>
      <c r="N63" s="2">
        <f>COUNTIFS(plots1!H:H, "&lt;" &amp; $B63, plots1!$I:$I, $O$20)</f>
        <v>80</v>
      </c>
    </row>
    <row r="64">
      <c r="A64" s="1">
        <v>62.0</v>
      </c>
      <c r="B64" s="2">
        <f t="shared" si="1"/>
        <v>1258.925412</v>
      </c>
      <c r="C64" s="2">
        <f>COUNTIF(plots1!D:D, "&lt;" &amp; $B64)</f>
        <v>194</v>
      </c>
      <c r="D64" s="2">
        <f>COUNTIF(plots1!E:E, "&lt;" &amp; $B64)</f>
        <v>364</v>
      </c>
      <c r="E64" s="2">
        <f>COUNTIF(plots1!F:F, "&lt;" &amp; $B64)</f>
        <v>368</v>
      </c>
      <c r="F64" s="2">
        <f>COUNTIF(plots1!G:G, "&lt;" &amp; $B64)</f>
        <v>509</v>
      </c>
      <c r="G64" s="2">
        <f>COUNTIF(plots1!H:H, "&lt;" &amp; $B64)</f>
        <v>544</v>
      </c>
      <c r="I64" s="2">
        <f t="shared" si="2"/>
        <v>1258.925412</v>
      </c>
      <c r="J64" s="2">
        <f>COUNTIFS(plots1!D:D, "&lt;" &amp; $B64, plots1!$I:$I, $O$20)</f>
        <v>43</v>
      </c>
      <c r="K64" s="2">
        <f>COUNTIFS(plots1!E:E, "&lt;" &amp; $B64, plots1!$I:$I, $O$20)</f>
        <v>62</v>
      </c>
      <c r="L64" s="2">
        <f>COUNTIFS(plots1!F:F, "&lt;" &amp; $B64, plots1!$I:$I, $O$20)</f>
        <v>66</v>
      </c>
      <c r="M64" s="2">
        <f>COUNTIFS(plots1!G:G, "&lt;" &amp; $B64, plots1!$I:$I, $O$20)</f>
        <v>71</v>
      </c>
      <c r="N64" s="2">
        <f>COUNTIFS(plots1!H:H, "&lt;" &amp; $B64, plots1!$I:$I, $O$20)</f>
        <v>80</v>
      </c>
    </row>
    <row r="65">
      <c r="A65" s="1">
        <v>63.0</v>
      </c>
      <c r="B65" s="2">
        <f t="shared" si="1"/>
        <v>1412.537545</v>
      </c>
      <c r="C65" s="2">
        <f>COUNTIF(plots1!D:D, "&lt;" &amp; $B65)</f>
        <v>205</v>
      </c>
      <c r="D65" s="2">
        <f>COUNTIF(plots1!E:E, "&lt;" &amp; $B65)</f>
        <v>382</v>
      </c>
      <c r="E65" s="2">
        <f>COUNTIF(plots1!F:F, "&lt;" &amp; $B65)</f>
        <v>368</v>
      </c>
      <c r="F65" s="2">
        <f>COUNTIF(plots1!G:G, "&lt;" &amp; $B65)</f>
        <v>512</v>
      </c>
      <c r="G65" s="2">
        <f>COUNTIF(plots1!H:H, "&lt;" &amp; $B65)</f>
        <v>544</v>
      </c>
      <c r="I65" s="2">
        <f t="shared" si="2"/>
        <v>1412.537545</v>
      </c>
      <c r="J65" s="2">
        <f>COUNTIFS(plots1!D:D, "&lt;" &amp; $B65, plots1!$I:$I, $O$20)</f>
        <v>43</v>
      </c>
      <c r="K65" s="2">
        <f>COUNTIFS(plots1!E:E, "&lt;" &amp; $B65, plots1!$I:$I, $O$20)</f>
        <v>62</v>
      </c>
      <c r="L65" s="2">
        <f>COUNTIFS(plots1!F:F, "&lt;" &amp; $B65, plots1!$I:$I, $O$20)</f>
        <v>66</v>
      </c>
      <c r="M65" s="2">
        <f>COUNTIFS(plots1!G:G, "&lt;" &amp; $B65, plots1!$I:$I, $O$20)</f>
        <v>71</v>
      </c>
      <c r="N65" s="2">
        <f>COUNTIFS(plots1!H:H, "&lt;" &amp; $B65, plots1!$I:$I, $O$20)</f>
        <v>80</v>
      </c>
    </row>
    <row r="66">
      <c r="A66" s="1">
        <v>64.0</v>
      </c>
      <c r="B66" s="2">
        <f t="shared" si="1"/>
        <v>1584.893192</v>
      </c>
      <c r="C66" s="2">
        <f>COUNTIF(plots1!D:D, "&lt;" &amp; $B66)</f>
        <v>216</v>
      </c>
      <c r="D66" s="2">
        <f>COUNTIF(plots1!E:E, "&lt;" &amp; $B66)</f>
        <v>386</v>
      </c>
      <c r="E66" s="2">
        <f>COUNTIF(plots1!F:F, "&lt;" &amp; $B66)</f>
        <v>369</v>
      </c>
      <c r="F66" s="2">
        <f>COUNTIF(plots1!G:G, "&lt;" &amp; $B66)</f>
        <v>529</v>
      </c>
      <c r="G66" s="2">
        <f>COUNTIF(plots1!H:H, "&lt;" &amp; $B66)</f>
        <v>544</v>
      </c>
      <c r="I66" s="2">
        <f t="shared" si="2"/>
        <v>1584.893192</v>
      </c>
      <c r="J66" s="2">
        <f>COUNTIFS(plots1!D:D, "&lt;" &amp; $B66, plots1!$I:$I, $O$20)</f>
        <v>43</v>
      </c>
      <c r="K66" s="2">
        <f>COUNTIFS(plots1!E:E, "&lt;" &amp; $B66, plots1!$I:$I, $O$20)</f>
        <v>62</v>
      </c>
      <c r="L66" s="2">
        <f>COUNTIFS(plots1!F:F, "&lt;" &amp; $B66, plots1!$I:$I, $O$20)</f>
        <v>66</v>
      </c>
      <c r="M66" s="2">
        <f>COUNTIFS(plots1!G:G, "&lt;" &amp; $B66, plots1!$I:$I, $O$20)</f>
        <v>71</v>
      </c>
      <c r="N66" s="2">
        <f>COUNTIFS(plots1!H:H, "&lt;" &amp; $B66, plots1!$I:$I, $O$20)</f>
        <v>80</v>
      </c>
    </row>
    <row r="67">
      <c r="A67" s="1">
        <v>65.0</v>
      </c>
      <c r="B67" s="2">
        <f t="shared" si="1"/>
        <v>1778.27941</v>
      </c>
      <c r="C67" s="2">
        <f>COUNTIF(plots1!D:D, "&lt;" &amp; $B67)</f>
        <v>220</v>
      </c>
      <c r="D67" s="2">
        <f>COUNTIF(plots1!E:E, "&lt;" &amp; $B67)</f>
        <v>386</v>
      </c>
      <c r="E67" s="2">
        <f>COUNTIF(plots1!F:F, "&lt;" &amp; $B67)</f>
        <v>369</v>
      </c>
      <c r="F67" s="2">
        <f>COUNTIF(plots1!G:G, "&lt;" &amp; $B67)</f>
        <v>532</v>
      </c>
      <c r="G67" s="2">
        <f>COUNTIF(plots1!H:H, "&lt;" &amp; $B67)</f>
        <v>544</v>
      </c>
      <c r="I67" s="2">
        <f t="shared" si="2"/>
        <v>1778.27941</v>
      </c>
      <c r="J67" s="2">
        <f>COUNTIFS(plots1!D:D, "&lt;" &amp; $B67, plots1!$I:$I, $O$20)</f>
        <v>43</v>
      </c>
      <c r="K67" s="2">
        <f>COUNTIFS(plots1!E:E, "&lt;" &amp; $B67, plots1!$I:$I, $O$20)</f>
        <v>62</v>
      </c>
      <c r="L67" s="2">
        <f>COUNTIFS(plots1!F:F, "&lt;" &amp; $B67, plots1!$I:$I, $O$20)</f>
        <v>66</v>
      </c>
      <c r="M67" s="2">
        <f>COUNTIFS(plots1!G:G, "&lt;" &amp; $B67, plots1!$I:$I, $O$20)</f>
        <v>71</v>
      </c>
      <c r="N67" s="2">
        <f>COUNTIFS(plots1!H:H, "&lt;" &amp; $B67, plots1!$I:$I, $O$20)</f>
        <v>80</v>
      </c>
    </row>
    <row r="68">
      <c r="A68" s="1">
        <v>66.0</v>
      </c>
      <c r="B68" s="2">
        <f t="shared" si="1"/>
        <v>1995.262315</v>
      </c>
      <c r="C68" s="2">
        <f>COUNTIF(plots1!D:D, "&lt;" &amp; $B68)</f>
        <v>224</v>
      </c>
      <c r="D68" s="2">
        <f>COUNTIF(plots1!E:E, "&lt;" &amp; $B68)</f>
        <v>386</v>
      </c>
      <c r="E68" s="2">
        <f>COUNTIF(plots1!F:F, "&lt;" &amp; $B68)</f>
        <v>373</v>
      </c>
      <c r="F68" s="2">
        <f>COUNTIF(plots1!G:G, "&lt;" &amp; $B68)</f>
        <v>534</v>
      </c>
      <c r="G68" s="2">
        <f>COUNTIF(plots1!H:H, "&lt;" &amp; $B68)</f>
        <v>544</v>
      </c>
      <c r="I68" s="2">
        <f t="shared" si="2"/>
        <v>1995.262315</v>
      </c>
      <c r="J68" s="2">
        <f>COUNTIFS(plots1!D:D, "&lt;" &amp; $B68, plots1!$I:$I, $O$20)</f>
        <v>43</v>
      </c>
      <c r="K68" s="2">
        <f>COUNTIFS(plots1!E:E, "&lt;" &amp; $B68, plots1!$I:$I, $O$20)</f>
        <v>62</v>
      </c>
      <c r="L68" s="2">
        <f>COUNTIFS(plots1!F:F, "&lt;" &amp; $B68, plots1!$I:$I, $O$20)</f>
        <v>66</v>
      </c>
      <c r="M68" s="2">
        <f>COUNTIFS(plots1!G:G, "&lt;" &amp; $B68, plots1!$I:$I, $O$20)</f>
        <v>71</v>
      </c>
      <c r="N68" s="2">
        <f>COUNTIFS(plots1!H:H, "&lt;" &amp; $B68, plots1!$I:$I, $O$20)</f>
        <v>80</v>
      </c>
    </row>
    <row r="69">
      <c r="A69" s="1">
        <v>67.0</v>
      </c>
      <c r="B69" s="2">
        <f t="shared" si="1"/>
        <v>2238.721139</v>
      </c>
      <c r="C69" s="2">
        <f>COUNTIF(plots1!D:D, "&lt;" &amp; $B69)</f>
        <v>225</v>
      </c>
      <c r="D69" s="2">
        <f>COUNTIF(plots1!E:E, "&lt;" &amp; $B69)</f>
        <v>386</v>
      </c>
      <c r="E69" s="2">
        <f>COUNTIF(plots1!F:F, "&lt;" &amp; $B69)</f>
        <v>380</v>
      </c>
      <c r="F69" s="2">
        <f>COUNTIF(plots1!G:G, "&lt;" &amp; $B69)</f>
        <v>534</v>
      </c>
      <c r="G69" s="2">
        <f>COUNTIF(plots1!H:H, "&lt;" &amp; $B69)</f>
        <v>544</v>
      </c>
      <c r="I69" s="2">
        <f t="shared" si="2"/>
        <v>2238.721139</v>
      </c>
      <c r="J69" s="2">
        <f>COUNTIFS(plots1!D:D, "&lt;" &amp; $B69, plots1!$I:$I, $O$20)</f>
        <v>43</v>
      </c>
      <c r="K69" s="2">
        <f>COUNTIFS(plots1!E:E, "&lt;" &amp; $B69, plots1!$I:$I, $O$20)</f>
        <v>62</v>
      </c>
      <c r="L69" s="2">
        <f>COUNTIFS(plots1!F:F, "&lt;" &amp; $B69, plots1!$I:$I, $O$20)</f>
        <v>66</v>
      </c>
      <c r="M69" s="2">
        <f>COUNTIFS(plots1!G:G, "&lt;" &amp; $B69, plots1!$I:$I, $O$20)</f>
        <v>71</v>
      </c>
      <c r="N69" s="2">
        <f>COUNTIFS(plots1!H:H, "&lt;" &amp; $B69, plots1!$I:$I, $O$20)</f>
        <v>80</v>
      </c>
    </row>
    <row r="70">
      <c r="A70" s="1">
        <v>68.0</v>
      </c>
      <c r="B70" s="2">
        <f t="shared" si="1"/>
        <v>2511.886432</v>
      </c>
      <c r="C70" s="2">
        <f>COUNTIF(plots1!D:D, "&lt;" &amp; $B70)</f>
        <v>225</v>
      </c>
      <c r="D70" s="2">
        <f>COUNTIF(plots1!E:E, "&lt;" &amp; $B70)</f>
        <v>386</v>
      </c>
      <c r="E70" s="2">
        <f>COUNTIF(plots1!F:F, "&lt;" &amp; $B70)</f>
        <v>390</v>
      </c>
      <c r="F70" s="2">
        <f>COUNTIF(plots1!G:G, "&lt;" &amp; $B70)</f>
        <v>534</v>
      </c>
      <c r="G70" s="2">
        <f>COUNTIF(plots1!H:H, "&lt;" &amp; $B70)</f>
        <v>544</v>
      </c>
      <c r="I70" s="2">
        <f t="shared" si="2"/>
        <v>2511.886432</v>
      </c>
      <c r="J70" s="2">
        <f>COUNTIFS(plots1!D:D, "&lt;" &amp; $B70, plots1!$I:$I, $O$20)</f>
        <v>43</v>
      </c>
      <c r="K70" s="2">
        <f>COUNTIFS(plots1!E:E, "&lt;" &amp; $B70, plots1!$I:$I, $O$20)</f>
        <v>62</v>
      </c>
      <c r="L70" s="2">
        <f>COUNTIFS(plots1!F:F, "&lt;" &amp; $B70, plots1!$I:$I, $O$20)</f>
        <v>68</v>
      </c>
      <c r="M70" s="2">
        <f>COUNTIFS(plots1!G:G, "&lt;" &amp; $B70, plots1!$I:$I, $O$20)</f>
        <v>71</v>
      </c>
      <c r="N70" s="2">
        <f>COUNTIFS(plots1!H:H, "&lt;" &amp; $B70, plots1!$I:$I, $O$20)</f>
        <v>80</v>
      </c>
    </row>
    <row r="71">
      <c r="A71" s="1">
        <v>69.0</v>
      </c>
      <c r="B71" s="2">
        <f t="shared" si="1"/>
        <v>2818.382931</v>
      </c>
      <c r="C71" s="2">
        <f>COUNTIF(plots1!D:D, "&lt;" &amp; $B71)</f>
        <v>225</v>
      </c>
      <c r="D71" s="2">
        <f>COUNTIF(plots1!E:E, "&lt;" &amp; $B71)</f>
        <v>386</v>
      </c>
      <c r="E71" s="2">
        <f>COUNTIF(plots1!F:F, "&lt;" &amp; $B71)</f>
        <v>394</v>
      </c>
      <c r="F71" s="2">
        <f>COUNTIF(plots1!G:G, "&lt;" &amp; $B71)</f>
        <v>534</v>
      </c>
      <c r="G71" s="2">
        <f>COUNTIF(plots1!H:H, "&lt;" &amp; $B71)</f>
        <v>544</v>
      </c>
      <c r="I71" s="2">
        <f t="shared" si="2"/>
        <v>2818.382931</v>
      </c>
      <c r="J71" s="2">
        <f>COUNTIFS(plots1!D:D, "&lt;" &amp; $B71, plots1!$I:$I, $O$20)</f>
        <v>43</v>
      </c>
      <c r="K71" s="2">
        <f>COUNTIFS(plots1!E:E, "&lt;" &amp; $B71, plots1!$I:$I, $O$20)</f>
        <v>62</v>
      </c>
      <c r="L71" s="2">
        <f>COUNTIFS(plots1!F:F, "&lt;" &amp; $B71, plots1!$I:$I, $O$20)</f>
        <v>70</v>
      </c>
      <c r="M71" s="2">
        <f>COUNTIFS(plots1!G:G, "&lt;" &amp; $B71, plots1!$I:$I, $O$20)</f>
        <v>71</v>
      </c>
      <c r="N71" s="2">
        <f>COUNTIFS(plots1!H:H, "&lt;" &amp; $B71, plots1!$I:$I, $O$20)</f>
        <v>80</v>
      </c>
    </row>
    <row r="72">
      <c r="A72" s="1">
        <v>70.0</v>
      </c>
      <c r="B72" s="2">
        <f t="shared" si="1"/>
        <v>3162.27766</v>
      </c>
      <c r="C72" s="2">
        <f>COUNTIF(plots1!D:D, "&lt;" &amp; $B72)</f>
        <v>225</v>
      </c>
      <c r="D72" s="2">
        <f>COUNTIF(plots1!E:E, "&lt;" &amp; $B72)</f>
        <v>386</v>
      </c>
      <c r="E72" s="2">
        <f>COUNTIF(plots1!F:F, "&lt;" &amp; $B72)</f>
        <v>396</v>
      </c>
      <c r="F72" s="2">
        <f>COUNTIF(plots1!G:G, "&lt;" &amp; $B72)</f>
        <v>534</v>
      </c>
      <c r="G72" s="2">
        <f>COUNTIF(plots1!H:H, "&lt;" &amp; $B72)</f>
        <v>544</v>
      </c>
      <c r="I72" s="2">
        <f t="shared" si="2"/>
        <v>3162.27766</v>
      </c>
      <c r="J72" s="2">
        <f>COUNTIFS(plots1!D:D, "&lt;" &amp; $B72, plots1!$I:$I, $O$20)</f>
        <v>43</v>
      </c>
      <c r="K72" s="2">
        <f>COUNTIFS(plots1!E:E, "&lt;" &amp; $B72, plots1!$I:$I, $O$20)</f>
        <v>62</v>
      </c>
      <c r="L72" s="2">
        <f>COUNTIFS(plots1!F:F, "&lt;" &amp; $B72, plots1!$I:$I, $O$20)</f>
        <v>72</v>
      </c>
      <c r="M72" s="2">
        <f>COUNTIFS(plots1!G:G, "&lt;" &amp; $B72, plots1!$I:$I, $O$20)</f>
        <v>71</v>
      </c>
      <c r="N72" s="2">
        <f>COUNTIFS(plots1!H:H, "&lt;" &amp; $B72, plots1!$I:$I, $O$20)</f>
        <v>80</v>
      </c>
    </row>
    <row r="73">
      <c r="A73" s="1">
        <v>71.0</v>
      </c>
      <c r="B73" s="2">
        <f t="shared" si="1"/>
        <v>3548.133892</v>
      </c>
      <c r="C73" s="2">
        <f>COUNTIF(plots1!D:D, "&lt;" &amp; $B73)</f>
        <v>227</v>
      </c>
      <c r="D73" s="2">
        <f>COUNTIF(plots1!E:E, "&lt;" &amp; $B73)</f>
        <v>396</v>
      </c>
      <c r="E73" s="2">
        <f>COUNTIF(plots1!F:F, "&lt;" &amp; $B73)</f>
        <v>396</v>
      </c>
      <c r="F73" s="2">
        <f>COUNTIF(plots1!G:G, "&lt;" &amp; $B73)</f>
        <v>535</v>
      </c>
      <c r="G73" s="2">
        <f>COUNTIF(plots1!H:H, "&lt;" &amp; $B73)</f>
        <v>544</v>
      </c>
      <c r="I73" s="2">
        <f t="shared" si="2"/>
        <v>3548.133892</v>
      </c>
      <c r="J73" s="2">
        <f>COUNTIFS(plots1!D:D, "&lt;" &amp; $B73, plots1!$I:$I, $O$20)</f>
        <v>45</v>
      </c>
      <c r="K73" s="2">
        <f>COUNTIFS(plots1!E:E, "&lt;" &amp; $B73, plots1!$I:$I, $O$20)</f>
        <v>62</v>
      </c>
      <c r="L73" s="2">
        <f>COUNTIFS(plots1!F:F, "&lt;" &amp; $B73, plots1!$I:$I, $O$20)</f>
        <v>72</v>
      </c>
      <c r="M73" s="2">
        <f>COUNTIFS(plots1!G:G, "&lt;" &amp; $B73, plots1!$I:$I, $O$20)</f>
        <v>71</v>
      </c>
      <c r="N73" s="2">
        <f>COUNTIFS(plots1!H:H, "&lt;" &amp; $B73, plots1!$I:$I, $O$20)</f>
        <v>80</v>
      </c>
    </row>
    <row r="74">
      <c r="A74" s="1">
        <v>72.0</v>
      </c>
      <c r="B74" s="2">
        <f t="shared" si="1"/>
        <v>3981.071706</v>
      </c>
      <c r="C74" s="2">
        <f>COUNTIF(plots1!D:D, "&lt;" &amp; $B74)</f>
        <v>228</v>
      </c>
      <c r="D74" s="2">
        <f>COUNTIF(plots1!E:E, "&lt;" &amp; $B74)</f>
        <v>396</v>
      </c>
      <c r="E74" s="2">
        <f>COUNTIF(plots1!F:F, "&lt;" &amp; $B74)</f>
        <v>396</v>
      </c>
      <c r="F74" s="2">
        <f>COUNTIF(plots1!G:G, "&lt;" &amp; $B74)</f>
        <v>535</v>
      </c>
      <c r="G74" s="2">
        <f>COUNTIF(plots1!H:H, "&lt;" &amp; $B74)</f>
        <v>544</v>
      </c>
      <c r="I74" s="2">
        <f t="shared" si="2"/>
        <v>3981.071706</v>
      </c>
      <c r="J74" s="2">
        <f>COUNTIFS(plots1!D:D, "&lt;" &amp; $B74, plots1!$I:$I, $O$20)</f>
        <v>45</v>
      </c>
      <c r="K74" s="2">
        <f>COUNTIFS(plots1!E:E, "&lt;" &amp; $B74, plots1!$I:$I, $O$20)</f>
        <v>62</v>
      </c>
      <c r="L74" s="2">
        <f>COUNTIFS(plots1!F:F, "&lt;" &amp; $B74, plots1!$I:$I, $O$20)</f>
        <v>72</v>
      </c>
      <c r="M74" s="2">
        <f>COUNTIFS(plots1!G:G, "&lt;" &amp; $B74, plots1!$I:$I, $O$20)</f>
        <v>71</v>
      </c>
      <c r="N74" s="2">
        <f>COUNTIFS(plots1!H:H, "&lt;" &amp; $B74, plots1!$I:$I, $O$20)</f>
        <v>80</v>
      </c>
    </row>
    <row r="75">
      <c r="A75" s="1">
        <v>73.0</v>
      </c>
      <c r="B75" s="2">
        <f t="shared" si="1"/>
        <v>4466.835922</v>
      </c>
      <c r="C75" s="2">
        <f>COUNTIF(plots1!D:D, "&lt;" &amp; $B75)</f>
        <v>228</v>
      </c>
      <c r="D75" s="2">
        <f>COUNTIF(plots1!E:E, "&lt;" &amp; $B75)</f>
        <v>406</v>
      </c>
      <c r="E75" s="2">
        <f>COUNTIF(plots1!F:F, "&lt;" &amp; $B75)</f>
        <v>396</v>
      </c>
      <c r="F75" s="2">
        <f>COUNTIF(plots1!G:G, "&lt;" &amp; $B75)</f>
        <v>540</v>
      </c>
      <c r="G75" s="2">
        <f>COUNTIF(plots1!H:H, "&lt;" &amp; $B75)</f>
        <v>544</v>
      </c>
      <c r="I75" s="2">
        <f t="shared" si="2"/>
        <v>4466.835922</v>
      </c>
      <c r="J75" s="2">
        <f>COUNTIFS(plots1!D:D, "&lt;" &amp; $B75, plots1!$I:$I, $O$20)</f>
        <v>45</v>
      </c>
      <c r="K75" s="2">
        <f>COUNTIFS(plots1!E:E, "&lt;" &amp; $B75, plots1!$I:$I, $O$20)</f>
        <v>62</v>
      </c>
      <c r="L75" s="2">
        <f>COUNTIFS(plots1!F:F, "&lt;" &amp; $B75, plots1!$I:$I, $O$20)</f>
        <v>72</v>
      </c>
      <c r="M75" s="2">
        <f>COUNTIFS(plots1!G:G, "&lt;" &amp; $B75, plots1!$I:$I, $O$20)</f>
        <v>76</v>
      </c>
      <c r="N75" s="2">
        <f>COUNTIFS(plots1!H:H, "&lt;" &amp; $B75, plots1!$I:$I, $O$20)</f>
        <v>80</v>
      </c>
    </row>
    <row r="76">
      <c r="A76" s="1">
        <v>74.0</v>
      </c>
      <c r="B76" s="2">
        <f t="shared" si="1"/>
        <v>5011.872336</v>
      </c>
      <c r="C76" s="2">
        <f>COUNTIF(plots1!D:D, "&lt;" &amp; $B76)</f>
        <v>231</v>
      </c>
      <c r="D76" s="2">
        <f>COUNTIF(plots1!E:E, "&lt;" &amp; $B76)</f>
        <v>406</v>
      </c>
      <c r="E76" s="2">
        <f>COUNTIF(plots1!F:F, "&lt;" &amp; $B76)</f>
        <v>396</v>
      </c>
      <c r="F76" s="2">
        <f>COUNTIF(plots1!G:G, "&lt;" &amp; $B76)</f>
        <v>543</v>
      </c>
      <c r="G76" s="2">
        <f>COUNTIF(plots1!H:H, "&lt;" &amp; $B76)</f>
        <v>544</v>
      </c>
      <c r="I76" s="2">
        <f t="shared" si="2"/>
        <v>5011.872336</v>
      </c>
      <c r="J76" s="2">
        <f>COUNTIFS(plots1!D:D, "&lt;" &amp; $B76, plots1!$I:$I, $O$20)</f>
        <v>45</v>
      </c>
      <c r="K76" s="2">
        <f>COUNTIFS(plots1!E:E, "&lt;" &amp; $B76, plots1!$I:$I, $O$20)</f>
        <v>62</v>
      </c>
      <c r="L76" s="2">
        <f>COUNTIFS(plots1!F:F, "&lt;" &amp; $B76, plots1!$I:$I, $O$20)</f>
        <v>72</v>
      </c>
      <c r="M76" s="2">
        <f>COUNTIFS(plots1!G:G, "&lt;" &amp; $B76, plots1!$I:$I, $O$20)</f>
        <v>79</v>
      </c>
      <c r="N76" s="2">
        <f>COUNTIFS(plots1!H:H, "&lt;" &amp; $B76, plots1!$I:$I, $O$20)</f>
        <v>80</v>
      </c>
    </row>
    <row r="77">
      <c r="A77" s="1">
        <v>75.0</v>
      </c>
      <c r="B77" s="2">
        <f t="shared" si="1"/>
        <v>5623.413252</v>
      </c>
      <c r="C77" s="2">
        <f>COUNTIF(plots1!D:D, "&lt;" &amp; $B77)</f>
        <v>238</v>
      </c>
      <c r="D77" s="2">
        <f>COUNTIF(plots1!E:E, "&lt;" &amp; $B77)</f>
        <v>406</v>
      </c>
      <c r="E77" s="2">
        <f>COUNTIF(plots1!F:F, "&lt;" &amp; $B77)</f>
        <v>396</v>
      </c>
      <c r="F77" s="2">
        <f>COUNTIF(plots1!G:G, "&lt;" &amp; $B77)</f>
        <v>543</v>
      </c>
      <c r="G77" s="2">
        <f>COUNTIF(plots1!H:H, "&lt;" &amp; $B77)</f>
        <v>544</v>
      </c>
      <c r="I77" s="2">
        <f t="shared" si="2"/>
        <v>5623.413252</v>
      </c>
      <c r="J77" s="2">
        <f>COUNTIFS(plots1!D:D, "&lt;" &amp; $B77, plots1!$I:$I, $O$20)</f>
        <v>45</v>
      </c>
      <c r="K77" s="2">
        <f>COUNTIFS(plots1!E:E, "&lt;" &amp; $B77, plots1!$I:$I, $O$20)</f>
        <v>62</v>
      </c>
      <c r="L77" s="2">
        <f>COUNTIFS(plots1!F:F, "&lt;" &amp; $B77, plots1!$I:$I, $O$20)</f>
        <v>72</v>
      </c>
      <c r="M77" s="2">
        <f>COUNTIFS(plots1!G:G, "&lt;" &amp; $B77, plots1!$I:$I, $O$20)</f>
        <v>79</v>
      </c>
      <c r="N77" s="2">
        <f>COUNTIFS(plots1!H:H, "&lt;" &amp; $B77, plots1!$I:$I, $O$20)</f>
        <v>80</v>
      </c>
    </row>
    <row r="78">
      <c r="A78" s="1">
        <v>76.0</v>
      </c>
      <c r="B78" s="2">
        <f t="shared" si="1"/>
        <v>6309.573445</v>
      </c>
      <c r="C78" s="2">
        <f>COUNTIF(plots1!D:D, "&lt;" &amp; $B78)</f>
        <v>238</v>
      </c>
      <c r="D78" s="2">
        <f>COUNTIF(plots1!E:E, "&lt;" &amp; $B78)</f>
        <v>406</v>
      </c>
      <c r="E78" s="2">
        <f>COUNTIF(plots1!F:F, "&lt;" &amp; $B78)</f>
        <v>406</v>
      </c>
      <c r="F78" s="2">
        <f>COUNTIF(plots1!G:G, "&lt;" &amp; $B78)</f>
        <v>543</v>
      </c>
      <c r="G78" s="2">
        <f>COUNTIF(plots1!H:H, "&lt;" &amp; $B78)</f>
        <v>544</v>
      </c>
      <c r="I78" s="2">
        <f t="shared" si="2"/>
        <v>6309.573445</v>
      </c>
      <c r="J78" s="2">
        <f>COUNTIFS(plots1!D:D, "&lt;" &amp; $B78, plots1!$I:$I, $O$20)</f>
        <v>45</v>
      </c>
      <c r="K78" s="2">
        <f>COUNTIFS(plots1!E:E, "&lt;" &amp; $B78, plots1!$I:$I, $O$20)</f>
        <v>62</v>
      </c>
      <c r="L78" s="2">
        <f>COUNTIFS(plots1!F:F, "&lt;" &amp; $B78, plots1!$I:$I, $O$20)</f>
        <v>72</v>
      </c>
      <c r="M78" s="2">
        <f>COUNTIFS(plots1!G:G, "&lt;" &amp; $B78, plots1!$I:$I, $O$20)</f>
        <v>79</v>
      </c>
      <c r="N78" s="2">
        <f>COUNTIFS(plots1!H:H, "&lt;" &amp; $B78, plots1!$I:$I, $O$20)</f>
        <v>80</v>
      </c>
    </row>
    <row r="79">
      <c r="A79" s="1">
        <v>77.0</v>
      </c>
      <c r="B79" s="2">
        <f t="shared" si="1"/>
        <v>7079.457844</v>
      </c>
      <c r="C79" s="2">
        <f>COUNTIF(plots1!D:D, "&lt;" &amp; $B79)</f>
        <v>238</v>
      </c>
      <c r="D79" s="2">
        <f>COUNTIF(plots1!E:E, "&lt;" &amp; $B79)</f>
        <v>406</v>
      </c>
      <c r="E79" s="2">
        <f>COUNTIF(plots1!F:F, "&lt;" &amp; $B79)</f>
        <v>416</v>
      </c>
      <c r="F79" s="2">
        <f>COUNTIF(plots1!G:G, "&lt;" &amp; $B79)</f>
        <v>543</v>
      </c>
      <c r="G79" s="2">
        <f>COUNTIF(plots1!H:H, "&lt;" &amp; $B79)</f>
        <v>544</v>
      </c>
      <c r="I79" s="2">
        <f t="shared" si="2"/>
        <v>7079.457844</v>
      </c>
      <c r="J79" s="2">
        <f>COUNTIFS(plots1!D:D, "&lt;" &amp; $B79, plots1!$I:$I, $O$20)</f>
        <v>45</v>
      </c>
      <c r="K79" s="2">
        <f>COUNTIFS(plots1!E:E, "&lt;" &amp; $B79, plots1!$I:$I, $O$20)</f>
        <v>62</v>
      </c>
      <c r="L79" s="2">
        <f>COUNTIFS(plots1!F:F, "&lt;" &amp; $B79, plots1!$I:$I, $O$20)</f>
        <v>72</v>
      </c>
      <c r="M79" s="2">
        <f>COUNTIFS(plots1!G:G, "&lt;" &amp; $B79, plots1!$I:$I, $O$20)</f>
        <v>79</v>
      </c>
      <c r="N79" s="2">
        <f>COUNTIFS(plots1!H:H, "&lt;" &amp; $B79, plots1!$I:$I, $O$20)</f>
        <v>80</v>
      </c>
    </row>
    <row r="80">
      <c r="A80" s="1">
        <v>78.0</v>
      </c>
      <c r="B80" s="2">
        <f t="shared" si="1"/>
        <v>7943.282347</v>
      </c>
      <c r="C80" s="2">
        <f>COUNTIF(plots1!D:D, "&lt;" &amp; $B80)</f>
        <v>239</v>
      </c>
      <c r="D80" s="2">
        <f>COUNTIF(plots1!E:E, "&lt;" &amp; $B80)</f>
        <v>406</v>
      </c>
      <c r="E80" s="2">
        <f>COUNTIF(plots1!F:F, "&lt;" &amp; $B80)</f>
        <v>416</v>
      </c>
      <c r="F80" s="2">
        <f>COUNTIF(plots1!G:G, "&lt;" &amp; $B80)</f>
        <v>543</v>
      </c>
      <c r="G80" s="2">
        <f>COUNTIF(plots1!H:H, "&lt;" &amp; $B80)</f>
        <v>544</v>
      </c>
      <c r="I80" s="2">
        <f t="shared" si="2"/>
        <v>7943.282347</v>
      </c>
      <c r="J80" s="2">
        <f>COUNTIFS(plots1!D:D, "&lt;" &amp; $B80, plots1!$I:$I, $O$20)</f>
        <v>46</v>
      </c>
      <c r="K80" s="2">
        <f>COUNTIFS(plots1!E:E, "&lt;" &amp; $B80, plots1!$I:$I, $O$20)</f>
        <v>62</v>
      </c>
      <c r="L80" s="2">
        <f>COUNTIFS(plots1!F:F, "&lt;" &amp; $B80, plots1!$I:$I, $O$20)</f>
        <v>72</v>
      </c>
      <c r="M80" s="2">
        <f>COUNTIFS(plots1!G:G, "&lt;" &amp; $B80, plots1!$I:$I, $O$20)</f>
        <v>79</v>
      </c>
      <c r="N80" s="2">
        <f>COUNTIFS(plots1!H:H, "&lt;" &amp; $B80, plots1!$I:$I, $O$20)</f>
        <v>80</v>
      </c>
    </row>
    <row r="81">
      <c r="A81" s="1">
        <v>79.0</v>
      </c>
      <c r="B81" s="2">
        <f t="shared" si="1"/>
        <v>8912.509381</v>
      </c>
      <c r="C81" s="2">
        <f>COUNTIF(plots1!D:D, "&lt;" &amp; $B81)</f>
        <v>240</v>
      </c>
      <c r="D81" s="2">
        <f>COUNTIF(plots1!E:E, "&lt;" &amp; $B81)</f>
        <v>416</v>
      </c>
      <c r="E81" s="2">
        <f>COUNTIF(plots1!F:F, "&lt;" &amp; $B81)</f>
        <v>416</v>
      </c>
      <c r="F81" s="2">
        <f>COUNTIF(plots1!G:G, "&lt;" &amp; $B81)</f>
        <v>543</v>
      </c>
      <c r="G81" s="2">
        <f>COUNTIF(plots1!H:H, "&lt;" &amp; $B81)</f>
        <v>544</v>
      </c>
      <c r="I81" s="2">
        <f t="shared" si="2"/>
        <v>8912.509381</v>
      </c>
      <c r="J81" s="2">
        <f>COUNTIFS(plots1!D:D, "&lt;" &amp; $B81, plots1!$I:$I, $O$20)</f>
        <v>46</v>
      </c>
      <c r="K81" s="2">
        <f>COUNTIFS(plots1!E:E, "&lt;" &amp; $B81, plots1!$I:$I, $O$20)</f>
        <v>62</v>
      </c>
      <c r="L81" s="2">
        <f>COUNTIFS(plots1!F:F, "&lt;" &amp; $B81, plots1!$I:$I, $O$20)</f>
        <v>72</v>
      </c>
      <c r="M81" s="2">
        <f>COUNTIFS(plots1!G:G, "&lt;" &amp; $B81, plots1!$I:$I, $O$20)</f>
        <v>79</v>
      </c>
      <c r="N81" s="2">
        <f>COUNTIFS(plots1!H:H, "&lt;" &amp; $B81, plots1!$I:$I, $O$20)</f>
        <v>80</v>
      </c>
    </row>
    <row r="82">
      <c r="A82" s="1">
        <v>80.0</v>
      </c>
      <c r="B82" s="2">
        <f t="shared" si="1"/>
        <v>10000</v>
      </c>
      <c r="C82" s="2">
        <f>COUNTIF(plots1!D:D, "&lt;" &amp; $B82)</f>
        <v>240</v>
      </c>
      <c r="D82" s="2">
        <f>COUNTIF(plots1!E:E, "&lt;" &amp; $B82)</f>
        <v>418</v>
      </c>
      <c r="E82" s="2">
        <f>COUNTIF(plots1!F:F, "&lt;" &amp; $B82)</f>
        <v>416</v>
      </c>
      <c r="F82" s="2">
        <f>COUNTIF(plots1!G:G, "&lt;" &amp; $B82)</f>
        <v>543</v>
      </c>
      <c r="G82" s="2">
        <f>COUNTIF(plots1!H:H, "&lt;" &amp; $B82)</f>
        <v>544</v>
      </c>
      <c r="I82" s="2">
        <f t="shared" si="2"/>
        <v>10000</v>
      </c>
      <c r="J82" s="2">
        <f>COUNTIFS(plots1!D:D, "&lt;" &amp; $B82, plots1!$I:$I, $O$20)</f>
        <v>46</v>
      </c>
      <c r="K82" s="2">
        <f>COUNTIFS(plots1!E:E, "&lt;" &amp; $B82, plots1!$I:$I, $O$20)</f>
        <v>64</v>
      </c>
      <c r="L82" s="2">
        <f>COUNTIFS(plots1!F:F, "&lt;" &amp; $B82, plots1!$I:$I, $O$20)</f>
        <v>72</v>
      </c>
      <c r="M82" s="2">
        <f>COUNTIFS(plots1!G:G, "&lt;" &amp; $B82, plots1!$I:$I, $O$20)</f>
        <v>79</v>
      </c>
      <c r="N82" s="2">
        <f>COUNTIFS(plots1!H:H, "&lt;" &amp; $B82, plots1!$I:$I, $O$20)</f>
        <v>80</v>
      </c>
    </row>
    <row r="83">
      <c r="A83" s="1">
        <v>81.0</v>
      </c>
      <c r="B83" s="2">
        <f t="shared" si="1"/>
        <v>11220.18454</v>
      </c>
      <c r="C83" s="2">
        <f>COUNTIF(plots1!D:D, "&lt;" &amp; $B83)</f>
        <v>240</v>
      </c>
      <c r="D83" s="2">
        <f>COUNTIF(plots1!E:E, "&lt;" &amp; $B83)</f>
        <v>421</v>
      </c>
      <c r="E83" s="2">
        <f>COUNTIF(plots1!F:F, "&lt;" &amp; $B83)</f>
        <v>416</v>
      </c>
      <c r="F83" s="2">
        <f>COUNTIF(plots1!G:G, "&lt;" &amp; $B83)</f>
        <v>543</v>
      </c>
      <c r="G83" s="2">
        <f>COUNTIF(plots1!H:H, "&lt;" &amp; $B83)</f>
        <v>544</v>
      </c>
      <c r="I83" s="2">
        <f t="shared" si="2"/>
        <v>11220.18454</v>
      </c>
      <c r="J83" s="2">
        <f>COUNTIFS(plots1!D:D, "&lt;" &amp; $B83, plots1!$I:$I, $O$20)</f>
        <v>46</v>
      </c>
      <c r="K83" s="2">
        <f>COUNTIFS(plots1!E:E, "&lt;" &amp; $B83, plots1!$I:$I, $O$20)</f>
        <v>67</v>
      </c>
      <c r="L83" s="2">
        <f>COUNTIFS(plots1!F:F, "&lt;" &amp; $B83, plots1!$I:$I, $O$20)</f>
        <v>72</v>
      </c>
      <c r="M83" s="2">
        <f>COUNTIFS(plots1!G:G, "&lt;" &amp; $B83, plots1!$I:$I, $O$20)</f>
        <v>79</v>
      </c>
      <c r="N83" s="2">
        <f>COUNTIFS(plots1!H:H, "&lt;" &amp; $B83, plots1!$I:$I, $O$20)</f>
        <v>80</v>
      </c>
    </row>
    <row r="84">
      <c r="A84" s="1">
        <v>82.0</v>
      </c>
      <c r="B84" s="2">
        <f t="shared" si="1"/>
        <v>12589.25412</v>
      </c>
      <c r="C84" s="2">
        <f>COUNTIF(plots1!D:D, "&lt;" &amp; $B84)</f>
        <v>240</v>
      </c>
      <c r="D84" s="2">
        <f>COUNTIF(plots1!E:E, "&lt;" &amp; $B84)</f>
        <v>421</v>
      </c>
      <c r="E84" s="2">
        <f>COUNTIF(plots1!F:F, "&lt;" &amp; $B84)</f>
        <v>416</v>
      </c>
      <c r="F84" s="2">
        <f>COUNTIF(plots1!G:G, "&lt;" &amp; $B84)</f>
        <v>543</v>
      </c>
      <c r="G84" s="2">
        <f>COUNTIF(plots1!H:H, "&lt;" &amp; $B84)</f>
        <v>544</v>
      </c>
      <c r="I84" s="2">
        <f t="shared" si="2"/>
        <v>12589.25412</v>
      </c>
      <c r="J84" s="2">
        <f>COUNTIFS(plots1!D:D, "&lt;" &amp; $B84, plots1!$I:$I, $O$20)</f>
        <v>46</v>
      </c>
      <c r="K84" s="2">
        <f>COUNTIFS(plots1!E:E, "&lt;" &amp; $B84, plots1!$I:$I, $O$20)</f>
        <v>67</v>
      </c>
      <c r="L84" s="2">
        <f>COUNTIFS(plots1!F:F, "&lt;" &amp; $B84, plots1!$I:$I, $O$20)</f>
        <v>72</v>
      </c>
      <c r="M84" s="2">
        <f>COUNTIFS(plots1!G:G, "&lt;" &amp; $B84, plots1!$I:$I, $O$20)</f>
        <v>79</v>
      </c>
      <c r="N84" s="2">
        <f>COUNTIFS(plots1!H:H, "&lt;" &amp; $B84, plots1!$I:$I, $O$20)</f>
        <v>80</v>
      </c>
    </row>
    <row r="85">
      <c r="A85" s="1">
        <v>83.0</v>
      </c>
      <c r="B85" s="2">
        <f t="shared" si="1"/>
        <v>14125.37545</v>
      </c>
      <c r="C85" s="2">
        <f>COUNTIF(plots1!D:D, "&lt;" &amp; $B85)</f>
        <v>258</v>
      </c>
      <c r="D85" s="2">
        <f>COUNTIF(plots1!E:E, "&lt;" &amp; $B85)</f>
        <v>441</v>
      </c>
      <c r="E85" s="2">
        <f>COUNTIF(plots1!F:F, "&lt;" &amp; $B85)</f>
        <v>416</v>
      </c>
      <c r="F85" s="2">
        <f>COUNTIF(plots1!G:G, "&lt;" &amp; $B85)</f>
        <v>544</v>
      </c>
      <c r="G85" s="2">
        <f>COUNTIF(plots1!H:H, "&lt;" &amp; $B85)</f>
        <v>544</v>
      </c>
      <c r="I85" s="2">
        <f t="shared" si="2"/>
        <v>14125.37545</v>
      </c>
      <c r="J85" s="2">
        <f>COUNTIFS(plots1!D:D, "&lt;" &amp; $B85, plots1!$I:$I, $O$20)</f>
        <v>54</v>
      </c>
      <c r="K85" s="2">
        <f>COUNTIFS(plots1!E:E, "&lt;" &amp; $B85, plots1!$I:$I, $O$20)</f>
        <v>67</v>
      </c>
      <c r="L85" s="2">
        <f>COUNTIFS(plots1!F:F, "&lt;" &amp; $B85, plots1!$I:$I, $O$20)</f>
        <v>72</v>
      </c>
      <c r="M85" s="2">
        <f>COUNTIFS(plots1!G:G, "&lt;" &amp; $B85, plots1!$I:$I, $O$20)</f>
        <v>80</v>
      </c>
      <c r="N85" s="2">
        <f>COUNTIFS(plots1!H:H, "&lt;" &amp; $B85, plots1!$I:$I, $O$20)</f>
        <v>80</v>
      </c>
    </row>
    <row r="86">
      <c r="A86" s="1">
        <v>84.0</v>
      </c>
      <c r="B86" s="2">
        <f t="shared" si="1"/>
        <v>15848.93192</v>
      </c>
      <c r="C86" s="2">
        <f>COUNTIF(plots1!D:D, "&lt;" &amp; $B86)</f>
        <v>263</v>
      </c>
      <c r="D86" s="2">
        <f>COUNTIF(plots1!E:E, "&lt;" &amp; $B86)</f>
        <v>444</v>
      </c>
      <c r="E86" s="2">
        <f>COUNTIF(plots1!F:F, "&lt;" &amp; $B86)</f>
        <v>416</v>
      </c>
      <c r="F86" s="2">
        <f>COUNTIF(plots1!G:G, "&lt;" &amp; $B86)</f>
        <v>544</v>
      </c>
      <c r="G86" s="2">
        <f>COUNTIF(plots1!H:H, "&lt;" &amp; $B86)</f>
        <v>544</v>
      </c>
      <c r="I86" s="2">
        <f t="shared" si="2"/>
        <v>15848.93192</v>
      </c>
      <c r="J86" s="2">
        <f>COUNTIFS(plots1!D:D, "&lt;" &amp; $B86, plots1!$I:$I, $O$20)</f>
        <v>56</v>
      </c>
      <c r="K86" s="2">
        <f>COUNTIFS(plots1!E:E, "&lt;" &amp; $B86, plots1!$I:$I, $O$20)</f>
        <v>70</v>
      </c>
      <c r="L86" s="2">
        <f>COUNTIFS(plots1!F:F, "&lt;" &amp; $B86, plots1!$I:$I, $O$20)</f>
        <v>72</v>
      </c>
      <c r="M86" s="2">
        <f>COUNTIFS(plots1!G:G, "&lt;" &amp; $B86, plots1!$I:$I, $O$20)</f>
        <v>80</v>
      </c>
      <c r="N86" s="2">
        <f>COUNTIFS(plots1!H:H, "&lt;" &amp; $B86, plots1!$I:$I, $O$20)</f>
        <v>80</v>
      </c>
    </row>
    <row r="87">
      <c r="A87" s="1">
        <v>85.0</v>
      </c>
      <c r="B87" s="2">
        <f t="shared" si="1"/>
        <v>17782.7941</v>
      </c>
      <c r="C87" s="2">
        <f>COUNTIF(plots1!D:D, "&lt;" &amp; $B87)</f>
        <v>266</v>
      </c>
      <c r="D87" s="2">
        <f>COUNTIF(plots1!E:E, "&lt;" &amp; $B87)</f>
        <v>454</v>
      </c>
      <c r="E87" s="2">
        <f>COUNTIF(plots1!F:F, "&lt;" &amp; $B87)</f>
        <v>416</v>
      </c>
      <c r="F87" s="2">
        <f>COUNTIF(plots1!G:G, "&lt;" &amp; $B87)</f>
        <v>544</v>
      </c>
      <c r="G87" s="2">
        <f>COUNTIF(plots1!H:H, "&lt;" &amp; $B87)</f>
        <v>544</v>
      </c>
      <c r="I87" s="2">
        <f t="shared" si="2"/>
        <v>17782.7941</v>
      </c>
      <c r="J87" s="2">
        <f>COUNTIFS(plots1!D:D, "&lt;" &amp; $B87, plots1!$I:$I, $O$20)</f>
        <v>56</v>
      </c>
      <c r="K87" s="2">
        <f>COUNTIFS(plots1!E:E, "&lt;" &amp; $B87, plots1!$I:$I, $O$20)</f>
        <v>70</v>
      </c>
      <c r="L87" s="2">
        <f>COUNTIFS(plots1!F:F, "&lt;" &amp; $B87, plots1!$I:$I, $O$20)</f>
        <v>72</v>
      </c>
      <c r="M87" s="2">
        <f>COUNTIFS(plots1!G:G, "&lt;" &amp; $B87, plots1!$I:$I, $O$20)</f>
        <v>80</v>
      </c>
      <c r="N87" s="2">
        <f>COUNTIFS(plots1!H:H, "&lt;" &amp; $B87, plots1!$I:$I, $O$20)</f>
        <v>80</v>
      </c>
    </row>
    <row r="88">
      <c r="A88" s="1">
        <v>86.0</v>
      </c>
      <c r="B88" s="2">
        <f t="shared" si="1"/>
        <v>19952.62315</v>
      </c>
      <c r="C88" s="2">
        <f>COUNTIF(plots1!D:D, "&lt;" &amp; $B88)</f>
        <v>275</v>
      </c>
      <c r="D88" s="2">
        <f>COUNTIF(plots1!E:E, "&lt;" &amp; $B88)</f>
        <v>454</v>
      </c>
      <c r="E88" s="2">
        <f>COUNTIF(plots1!F:F, "&lt;" &amp; $B88)</f>
        <v>425</v>
      </c>
      <c r="F88" s="2">
        <f>COUNTIF(plots1!G:G, "&lt;" &amp; $B88)</f>
        <v>544</v>
      </c>
      <c r="G88" s="2">
        <f>COUNTIF(plots1!H:H, "&lt;" &amp; $B88)</f>
        <v>544</v>
      </c>
      <c r="I88" s="2">
        <f t="shared" si="2"/>
        <v>19952.62315</v>
      </c>
      <c r="J88" s="2">
        <f>COUNTIFS(plots1!D:D, "&lt;" &amp; $B88, plots1!$I:$I, $O$20)</f>
        <v>56</v>
      </c>
      <c r="K88" s="2">
        <f>COUNTIFS(plots1!E:E, "&lt;" &amp; $B88, plots1!$I:$I, $O$20)</f>
        <v>70</v>
      </c>
      <c r="L88" s="2">
        <f>COUNTIFS(plots1!F:F, "&lt;" &amp; $B88, plots1!$I:$I, $O$20)</f>
        <v>72</v>
      </c>
      <c r="M88" s="2">
        <f>COUNTIFS(plots1!G:G, "&lt;" &amp; $B88, plots1!$I:$I, $O$20)</f>
        <v>80</v>
      </c>
      <c r="N88" s="2">
        <f>COUNTIFS(plots1!H:H, "&lt;" &amp; $B88, plots1!$I:$I, $O$20)</f>
        <v>80</v>
      </c>
    </row>
    <row r="89">
      <c r="A89" s="1">
        <v>87.0</v>
      </c>
      <c r="B89" s="2">
        <f t="shared" si="1"/>
        <v>22387.21139</v>
      </c>
      <c r="C89" s="2">
        <f>COUNTIF(plots1!D:D, "&lt;" &amp; $B89)</f>
        <v>275</v>
      </c>
      <c r="D89" s="2">
        <f>COUNTIF(plots1!E:E, "&lt;" &amp; $B89)</f>
        <v>454</v>
      </c>
      <c r="E89" s="2">
        <f>COUNTIF(plots1!F:F, "&lt;" &amp; $B89)</f>
        <v>427</v>
      </c>
      <c r="F89" s="2">
        <f>COUNTIF(plots1!G:G, "&lt;" &amp; $B89)</f>
        <v>544</v>
      </c>
      <c r="G89" s="2">
        <f>COUNTIF(plots1!H:H, "&lt;" &amp; $B89)</f>
        <v>544</v>
      </c>
      <c r="I89" s="2">
        <f t="shared" si="2"/>
        <v>22387.21139</v>
      </c>
      <c r="J89" s="2">
        <f>COUNTIFS(plots1!D:D, "&lt;" &amp; $B89, plots1!$I:$I, $O$20)</f>
        <v>56</v>
      </c>
      <c r="K89" s="2">
        <f>COUNTIFS(plots1!E:E, "&lt;" &amp; $B89, plots1!$I:$I, $O$20)</f>
        <v>70</v>
      </c>
      <c r="L89" s="2">
        <f>COUNTIFS(plots1!F:F, "&lt;" &amp; $B89, plots1!$I:$I, $O$20)</f>
        <v>74</v>
      </c>
      <c r="M89" s="2">
        <f>COUNTIFS(plots1!G:G, "&lt;" &amp; $B89, plots1!$I:$I, $O$20)</f>
        <v>80</v>
      </c>
      <c r="N89" s="2">
        <f>COUNTIFS(plots1!H:H, "&lt;" &amp; $B89, plots1!$I:$I, $O$20)</f>
        <v>80</v>
      </c>
    </row>
    <row r="90">
      <c r="A90" s="1">
        <v>88.0</v>
      </c>
      <c r="B90" s="2">
        <f t="shared" si="1"/>
        <v>25118.86432</v>
      </c>
      <c r="C90" s="2">
        <f>COUNTIF(plots1!D:D, "&lt;" &amp; $B90)</f>
        <v>275</v>
      </c>
      <c r="D90" s="2">
        <f>COUNTIF(plots1!E:E, "&lt;" &amp; $B90)</f>
        <v>454</v>
      </c>
      <c r="E90" s="2">
        <f>COUNTIF(plots1!F:F, "&lt;" &amp; $B90)</f>
        <v>447</v>
      </c>
      <c r="F90" s="2">
        <f>COUNTIF(plots1!G:G, "&lt;" &amp; $B90)</f>
        <v>544</v>
      </c>
      <c r="G90" s="2">
        <f>COUNTIF(plots1!H:H, "&lt;" &amp; $B90)</f>
        <v>544</v>
      </c>
      <c r="I90" s="2">
        <f t="shared" si="2"/>
        <v>25118.86432</v>
      </c>
      <c r="J90" s="2">
        <f>COUNTIFS(plots1!D:D, "&lt;" &amp; $B90, plots1!$I:$I, $O$20)</f>
        <v>56</v>
      </c>
      <c r="K90" s="2">
        <f>COUNTIFS(plots1!E:E, "&lt;" &amp; $B90, plots1!$I:$I, $O$20)</f>
        <v>70</v>
      </c>
      <c r="L90" s="2">
        <f>COUNTIFS(plots1!F:F, "&lt;" &amp; $B90, plots1!$I:$I, $O$20)</f>
        <v>74</v>
      </c>
      <c r="M90" s="2">
        <f>COUNTIFS(plots1!G:G, "&lt;" &amp; $B90, plots1!$I:$I, $O$20)</f>
        <v>80</v>
      </c>
      <c r="N90" s="2">
        <f>COUNTIFS(plots1!H:H, "&lt;" &amp; $B90, plots1!$I:$I, $O$20)</f>
        <v>80</v>
      </c>
    </row>
    <row r="91">
      <c r="A91" s="1">
        <v>89.0</v>
      </c>
      <c r="B91" s="2">
        <f t="shared" si="1"/>
        <v>28183.82931</v>
      </c>
      <c r="C91" s="2">
        <f>COUNTIF(plots1!D:D, "&lt;" &amp; $B91)</f>
        <v>276</v>
      </c>
      <c r="D91" s="2">
        <f>COUNTIF(plots1!E:E, "&lt;" &amp; $B91)</f>
        <v>456</v>
      </c>
      <c r="E91" s="2">
        <f>COUNTIF(plots1!F:F, "&lt;" &amp; $B91)</f>
        <v>448</v>
      </c>
      <c r="F91" s="2">
        <f>COUNTIF(plots1!G:G, "&lt;" &amp; $B91)</f>
        <v>544</v>
      </c>
      <c r="G91" s="2">
        <f>COUNTIF(plots1!H:H, "&lt;" &amp; $B91)</f>
        <v>544</v>
      </c>
      <c r="I91" s="2">
        <f t="shared" si="2"/>
        <v>28183.82931</v>
      </c>
      <c r="J91" s="2">
        <f>COUNTIFS(plots1!D:D, "&lt;" &amp; $B91, plots1!$I:$I, $O$20)</f>
        <v>57</v>
      </c>
      <c r="K91" s="2">
        <f>COUNTIFS(plots1!E:E, "&lt;" &amp; $B91, plots1!$I:$I, $O$20)</f>
        <v>72</v>
      </c>
      <c r="L91" s="2">
        <f>COUNTIFS(plots1!F:F, "&lt;" &amp; $B91, plots1!$I:$I, $O$20)</f>
        <v>75</v>
      </c>
      <c r="M91" s="2">
        <f>COUNTIFS(plots1!G:G, "&lt;" &amp; $B91, plots1!$I:$I, $O$20)</f>
        <v>80</v>
      </c>
      <c r="N91" s="2">
        <f>COUNTIFS(plots1!H:H, "&lt;" &amp; $B91, plots1!$I:$I, $O$20)</f>
        <v>80</v>
      </c>
    </row>
    <row r="92">
      <c r="A92" s="1">
        <v>90.0</v>
      </c>
      <c r="B92" s="2">
        <f t="shared" si="1"/>
        <v>31622.7766</v>
      </c>
      <c r="C92" s="2">
        <f>COUNTIF(plots1!D:D, "&lt;" &amp; $B92)</f>
        <v>276</v>
      </c>
      <c r="D92" s="2">
        <f>COUNTIF(plots1!E:E, "&lt;" &amp; $B92)</f>
        <v>456</v>
      </c>
      <c r="E92" s="2">
        <f>COUNTIF(plots1!F:F, "&lt;" &amp; $B92)</f>
        <v>449</v>
      </c>
      <c r="F92" s="2">
        <f>COUNTIF(plots1!G:G, "&lt;" &amp; $B92)</f>
        <v>544</v>
      </c>
      <c r="G92" s="2">
        <f>COUNTIF(plots1!H:H, "&lt;" &amp; $B92)</f>
        <v>544</v>
      </c>
      <c r="I92" s="2">
        <f t="shared" si="2"/>
        <v>31622.7766</v>
      </c>
      <c r="J92" s="2">
        <f>COUNTIFS(plots1!D:D, "&lt;" &amp; $B92, plots1!$I:$I, $O$20)</f>
        <v>57</v>
      </c>
      <c r="K92" s="2">
        <f>COUNTIFS(plots1!E:E, "&lt;" &amp; $B92, plots1!$I:$I, $O$20)</f>
        <v>72</v>
      </c>
      <c r="L92" s="2">
        <f>COUNTIFS(plots1!F:F, "&lt;" &amp; $B92, plots1!$I:$I, $O$20)</f>
        <v>76</v>
      </c>
      <c r="M92" s="2">
        <f>COUNTIFS(plots1!G:G, "&lt;" &amp; $B92, plots1!$I:$I, $O$20)</f>
        <v>80</v>
      </c>
      <c r="N92" s="2">
        <f>COUNTIFS(plots1!H:H, "&lt;" &amp; $B92, plots1!$I:$I, $O$20)</f>
        <v>80</v>
      </c>
    </row>
    <row r="93">
      <c r="A93" s="1">
        <v>91.0</v>
      </c>
      <c r="B93" s="2">
        <f t="shared" si="1"/>
        <v>35481.33892</v>
      </c>
      <c r="C93" s="2">
        <f>COUNTIF(plots1!D:D, "&lt;" &amp; $B93)</f>
        <v>276</v>
      </c>
      <c r="D93" s="2">
        <f>COUNTIF(plots1!E:E, "&lt;" &amp; $B93)</f>
        <v>466</v>
      </c>
      <c r="E93" s="2">
        <f>COUNTIF(plots1!F:F, "&lt;" &amp; $B93)</f>
        <v>449</v>
      </c>
      <c r="F93" s="2">
        <f>COUNTIF(plots1!G:G, "&lt;" &amp; $B93)</f>
        <v>544</v>
      </c>
      <c r="G93" s="2">
        <f>COUNTIF(plots1!H:H, "&lt;" &amp; $B93)</f>
        <v>544</v>
      </c>
      <c r="I93" s="2">
        <f t="shared" si="2"/>
        <v>35481.33892</v>
      </c>
      <c r="J93" s="2">
        <f>COUNTIFS(plots1!D:D, "&lt;" &amp; $B93, plots1!$I:$I, $O$20)</f>
        <v>57</v>
      </c>
      <c r="K93" s="2">
        <f>COUNTIFS(plots1!E:E, "&lt;" &amp; $B93, plots1!$I:$I, $O$20)</f>
        <v>72</v>
      </c>
      <c r="L93" s="2">
        <f>COUNTIFS(plots1!F:F, "&lt;" &amp; $B93, plots1!$I:$I, $O$20)</f>
        <v>76</v>
      </c>
      <c r="M93" s="2">
        <f>COUNTIFS(plots1!G:G, "&lt;" &amp; $B93, plots1!$I:$I, $O$20)</f>
        <v>80</v>
      </c>
      <c r="N93" s="2">
        <f>COUNTIFS(plots1!H:H, "&lt;" &amp; $B93, plots1!$I:$I, $O$20)</f>
        <v>80</v>
      </c>
    </row>
    <row r="94">
      <c r="A94" s="1">
        <v>92.0</v>
      </c>
      <c r="B94" s="2">
        <f t="shared" si="1"/>
        <v>39810.71706</v>
      </c>
      <c r="C94" s="2">
        <f>COUNTIF(plots1!D:D, "&lt;" &amp; $B94)</f>
        <v>276</v>
      </c>
      <c r="D94" s="2">
        <f>COUNTIF(plots1!E:E, "&lt;" &amp; $B94)</f>
        <v>466</v>
      </c>
      <c r="E94" s="2">
        <f>COUNTIF(plots1!F:F, "&lt;" &amp; $B94)</f>
        <v>459</v>
      </c>
      <c r="F94" s="2">
        <f>COUNTIF(plots1!G:G, "&lt;" &amp; $B94)</f>
        <v>544</v>
      </c>
      <c r="G94" s="2">
        <f>COUNTIF(plots1!H:H, "&lt;" &amp; $B94)</f>
        <v>544</v>
      </c>
      <c r="I94" s="2">
        <f t="shared" si="2"/>
        <v>39810.71706</v>
      </c>
      <c r="J94" s="2">
        <f>COUNTIFS(plots1!D:D, "&lt;" &amp; $B94, plots1!$I:$I, $O$20)</f>
        <v>57</v>
      </c>
      <c r="K94" s="2">
        <f>COUNTIFS(plots1!E:E, "&lt;" &amp; $B94, plots1!$I:$I, $O$20)</f>
        <v>72</v>
      </c>
      <c r="L94" s="2">
        <f>COUNTIFS(plots1!F:F, "&lt;" &amp; $B94, plots1!$I:$I, $O$20)</f>
        <v>76</v>
      </c>
      <c r="M94" s="2">
        <f>COUNTIFS(plots1!G:G, "&lt;" &amp; $B94, plots1!$I:$I, $O$20)</f>
        <v>80</v>
      </c>
      <c r="N94" s="2">
        <f>COUNTIFS(plots1!H:H, "&lt;" &amp; $B94, plots1!$I:$I, $O$20)</f>
        <v>80</v>
      </c>
    </row>
    <row r="95">
      <c r="A95" s="1">
        <v>93.0</v>
      </c>
      <c r="B95" s="2">
        <f t="shared" si="1"/>
        <v>44668.35922</v>
      </c>
      <c r="C95" s="2">
        <f>COUNTIF(plots1!D:D, "&lt;" &amp; $B95)</f>
        <v>276</v>
      </c>
      <c r="D95" s="2">
        <f>COUNTIF(plots1!E:E, "&lt;" &amp; $B95)</f>
        <v>466</v>
      </c>
      <c r="E95" s="2">
        <f>COUNTIF(plots1!F:F, "&lt;" &amp; $B95)</f>
        <v>459</v>
      </c>
      <c r="F95" s="2">
        <f>COUNTIF(plots1!G:G, "&lt;" &amp; $B95)</f>
        <v>544</v>
      </c>
      <c r="G95" s="2">
        <f>COUNTIF(plots1!H:H, "&lt;" &amp; $B95)</f>
        <v>544</v>
      </c>
      <c r="I95" s="2">
        <f t="shared" si="2"/>
        <v>44668.35922</v>
      </c>
      <c r="J95" s="2">
        <f>COUNTIFS(plots1!D:D, "&lt;" &amp; $B95, plots1!$I:$I, $O$20)</f>
        <v>57</v>
      </c>
      <c r="K95" s="2">
        <f>COUNTIFS(plots1!E:E, "&lt;" &amp; $B95, plots1!$I:$I, $O$20)</f>
        <v>72</v>
      </c>
      <c r="L95" s="2">
        <f>COUNTIFS(plots1!F:F, "&lt;" &amp; $B95, plots1!$I:$I, $O$20)</f>
        <v>76</v>
      </c>
      <c r="M95" s="2">
        <f>COUNTIFS(plots1!G:G, "&lt;" &amp; $B95, plots1!$I:$I, $O$20)</f>
        <v>80</v>
      </c>
      <c r="N95" s="2">
        <f>COUNTIFS(plots1!H:H, "&lt;" &amp; $B95, plots1!$I:$I, $O$20)</f>
        <v>80</v>
      </c>
    </row>
    <row r="96">
      <c r="A96" s="1">
        <v>94.0</v>
      </c>
      <c r="B96" s="2">
        <f t="shared" si="1"/>
        <v>50118.72336</v>
      </c>
      <c r="C96" s="2">
        <f>COUNTIF(plots1!D:D, "&lt;" &amp; $B96)</f>
        <v>280</v>
      </c>
      <c r="D96" s="2">
        <f>COUNTIF(plots1!E:E, "&lt;" &amp; $B96)</f>
        <v>466</v>
      </c>
      <c r="E96" s="2">
        <f>COUNTIF(plots1!F:F, "&lt;" &amp; $B96)</f>
        <v>459</v>
      </c>
      <c r="F96" s="2">
        <f>COUNTIF(plots1!G:G, "&lt;" &amp; $B96)</f>
        <v>544</v>
      </c>
      <c r="G96" s="2">
        <f>COUNTIF(plots1!H:H, "&lt;" &amp; $B96)</f>
        <v>544</v>
      </c>
      <c r="I96" s="2">
        <f t="shared" si="2"/>
        <v>50118.72336</v>
      </c>
      <c r="J96" s="2">
        <f>COUNTIFS(plots1!D:D, "&lt;" &amp; $B96, plots1!$I:$I, $O$20)</f>
        <v>57</v>
      </c>
      <c r="K96" s="2">
        <f>COUNTIFS(plots1!E:E, "&lt;" &amp; $B96, plots1!$I:$I, $O$20)</f>
        <v>72</v>
      </c>
      <c r="L96" s="2">
        <f>COUNTIFS(plots1!F:F, "&lt;" &amp; $B96, plots1!$I:$I, $O$20)</f>
        <v>76</v>
      </c>
      <c r="M96" s="2">
        <f>COUNTIFS(plots1!G:G, "&lt;" &amp; $B96, plots1!$I:$I, $O$20)</f>
        <v>80</v>
      </c>
      <c r="N96" s="2">
        <f>COUNTIFS(plots1!H:H, "&lt;" &amp; $B96, plots1!$I:$I, $O$20)</f>
        <v>80</v>
      </c>
    </row>
    <row r="97">
      <c r="A97" s="1">
        <v>95.0</v>
      </c>
      <c r="B97" s="2">
        <f t="shared" si="1"/>
        <v>56234.13252</v>
      </c>
      <c r="C97" s="2">
        <f>COUNTIF(plots1!D:D, "&lt;" &amp; $B97)</f>
        <v>293</v>
      </c>
      <c r="D97" s="2">
        <f>COUNTIF(plots1!E:E, "&lt;" &amp; $B97)</f>
        <v>466</v>
      </c>
      <c r="E97" s="2">
        <f>COUNTIF(plots1!F:F, "&lt;" &amp; $B97)</f>
        <v>461</v>
      </c>
      <c r="F97" s="2">
        <f>COUNTIF(plots1!G:G, "&lt;" &amp; $B97)</f>
        <v>544</v>
      </c>
      <c r="G97" s="2">
        <f>COUNTIF(plots1!H:H, "&lt;" &amp; $B97)</f>
        <v>544</v>
      </c>
      <c r="I97" s="2">
        <f t="shared" si="2"/>
        <v>56234.13252</v>
      </c>
      <c r="J97" s="2">
        <f>COUNTIFS(plots1!D:D, "&lt;" &amp; $B97, plots1!$I:$I, $O$20)</f>
        <v>57</v>
      </c>
      <c r="K97" s="2">
        <f>COUNTIFS(plots1!E:E, "&lt;" &amp; $B97, plots1!$I:$I, $O$20)</f>
        <v>72</v>
      </c>
      <c r="L97" s="2">
        <f>COUNTIFS(plots1!F:F, "&lt;" &amp; $B97, plots1!$I:$I, $O$20)</f>
        <v>76</v>
      </c>
      <c r="M97" s="2">
        <f>COUNTIFS(plots1!G:G, "&lt;" &amp; $B97, plots1!$I:$I, $O$20)</f>
        <v>80</v>
      </c>
      <c r="N97" s="2">
        <f>COUNTIFS(plots1!H:H, "&lt;" &amp; $B97, plots1!$I:$I, $O$20)</f>
        <v>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9.13"/>
    <col customWidth="1" min="3" max="3" width="19.13"/>
    <col customWidth="1" min="7" max="7" width="17.63"/>
    <col customWidth="1" min="8" max="8" width="7.38"/>
  </cols>
  <sheetData>
    <row r="1">
      <c r="A1" s="1"/>
      <c r="B1" s="1" t="s">
        <v>2948</v>
      </c>
      <c r="C1" s="1" t="s">
        <v>2949</v>
      </c>
      <c r="D1" s="1" t="s">
        <v>2252</v>
      </c>
      <c r="F1" s="2" t="s">
        <v>2252</v>
      </c>
      <c r="H1" s="1" t="s">
        <v>2948</v>
      </c>
    </row>
    <row r="2">
      <c r="A2" s="1" t="s">
        <v>2950</v>
      </c>
      <c r="B2" s="2">
        <f>IFERROR(__xludf.DUMMYFUNCTION("SPLIT(A2, "" "")"),11.0)</f>
        <v>11</v>
      </c>
      <c r="C2" s="2" t="str">
        <f>IFERROR(__xludf.DUMMYFUNCTION("""COMPUTED_VALUE"""),"./src/algorithm/mod.rs")</f>
        <v>./src/algorithm/mod.rs</v>
      </c>
      <c r="D2" s="1" t="s">
        <v>2951</v>
      </c>
      <c r="F2" s="1" t="s">
        <v>2952</v>
      </c>
      <c r="G2" s="1" t="s">
        <v>2953</v>
      </c>
      <c r="H2" s="2">
        <f t="shared" ref="H2:H12" si="1">SUMIF(D:D, F2, B:B)</f>
        <v>1197</v>
      </c>
    </row>
    <row r="3">
      <c r="A3" s="1" t="s">
        <v>2954</v>
      </c>
      <c r="B3" s="2">
        <f>IFERROR(__xludf.DUMMYFUNCTION("SPLIT(A3, "" "")"),12.0)</f>
        <v>12</v>
      </c>
      <c r="C3" s="2" t="str">
        <f>IFERROR(__xludf.DUMMYFUNCTION("""COMPUTED_VALUE"""),"./src/lib.rs")</f>
        <v>./src/lib.rs</v>
      </c>
      <c r="D3" s="1" t="s">
        <v>2951</v>
      </c>
      <c r="F3" s="2" t="s">
        <v>2942</v>
      </c>
      <c r="G3" s="1" t="s">
        <v>2955</v>
      </c>
      <c r="H3" s="2">
        <f t="shared" si="1"/>
        <v>78</v>
      </c>
    </row>
    <row r="4">
      <c r="A4" s="1" t="s">
        <v>2956</v>
      </c>
      <c r="B4" s="2">
        <f>IFERROR(__xludf.DUMMYFUNCTION("SPLIT(A4, "" "")"),34.0)</f>
        <v>34</v>
      </c>
      <c r="C4" s="2" t="str">
        <f>IFERROR(__xludf.DUMMYFUNCTION("""COMPUTED_VALUE"""),"./src/bin/run_compare.rs")</f>
        <v>./src/bin/run_compare.rs</v>
      </c>
      <c r="D4" s="1" t="s">
        <v>2957</v>
      </c>
      <c r="F4" s="2" t="s">
        <v>2943</v>
      </c>
      <c r="G4" s="1" t="s">
        <v>2958</v>
      </c>
      <c r="H4" s="2">
        <f t="shared" si="1"/>
        <v>98</v>
      </c>
    </row>
    <row r="5">
      <c r="A5" s="1" t="s">
        <v>2959</v>
      </c>
      <c r="B5" s="2">
        <f>IFERROR(__xludf.DUMMYFUNCTION("SPLIT(A5, "" "")"),36.0)</f>
        <v>36</v>
      </c>
      <c r="C5" s="2" t="str">
        <f>IFERROR(__xludf.DUMMYFUNCTION("""COMPUTED_VALUE"""),"./src/bin/run_example.rs")</f>
        <v>./src/bin/run_example.rs</v>
      </c>
      <c r="D5" s="1" t="s">
        <v>2957</v>
      </c>
      <c r="F5" s="2" t="s">
        <v>2944</v>
      </c>
      <c r="G5" s="1" t="s">
        <v>2960</v>
      </c>
      <c r="H5" s="2">
        <f t="shared" si="1"/>
        <v>265</v>
      </c>
    </row>
    <row r="6">
      <c r="A6" s="1" t="s">
        <v>2961</v>
      </c>
      <c r="B6" s="2">
        <f>IFERROR(__xludf.DUMMYFUNCTION("SPLIT(A6, "" "")"),46.0)</f>
        <v>46</v>
      </c>
      <c r="C6" s="2" t="str">
        <f>IFERROR(__xludf.DUMMYFUNCTION("""COMPUTED_VALUE"""),"./src/debug_counter.rs")</f>
        <v>./src/debug_counter.rs</v>
      </c>
      <c r="D6" s="1" t="s">
        <v>2951</v>
      </c>
      <c r="F6" s="2" t="s">
        <v>2962</v>
      </c>
      <c r="G6" s="1" t="s">
        <v>2963</v>
      </c>
      <c r="H6" s="2">
        <f t="shared" si="1"/>
        <v>253</v>
      </c>
    </row>
    <row r="7">
      <c r="A7" s="1" t="s">
        <v>2964</v>
      </c>
      <c r="B7" s="2">
        <f>IFERROR(__xludf.DUMMYFUNCTION("SPLIT(A7, "" "")"),66.0)</f>
        <v>66</v>
      </c>
      <c r="C7" s="2" t="str">
        <f>IFERROR(__xludf.DUMMYFUNCTION("""COMPUTED_VALUE"""),"./src/bin/run_all.rs")</f>
        <v>./src/bin/run_all.rs</v>
      </c>
      <c r="D7" s="1" t="s">
        <v>2957</v>
      </c>
      <c r="F7" s="2" t="s">
        <v>2946</v>
      </c>
      <c r="G7" s="1" t="s">
        <v>2965</v>
      </c>
      <c r="H7" s="2">
        <f t="shared" si="1"/>
        <v>283</v>
      </c>
    </row>
    <row r="8">
      <c r="A8" s="1" t="s">
        <v>2966</v>
      </c>
      <c r="B8" s="2">
        <f>IFERROR(__xludf.DUMMYFUNCTION("SPLIT(A8, "" "")"),78.0)</f>
        <v>78</v>
      </c>
      <c r="C8" s="2" t="str">
        <f>IFERROR(__xludf.DUMMYFUNCTION("""COMPUTED_VALUE"""),"./src/algorithm/naive.rs")</f>
        <v>./src/algorithm/naive.rs</v>
      </c>
      <c r="D8" s="1" t="s">
        <v>2942</v>
      </c>
      <c r="F8" s="2" t="s">
        <v>2967</v>
      </c>
      <c r="G8" s="1" t="s">
        <v>2968</v>
      </c>
      <c r="H8" s="2">
        <f t="shared" si="1"/>
        <v>1510</v>
      </c>
    </row>
    <row r="9">
      <c r="A9" s="1" t="s">
        <v>2969</v>
      </c>
      <c r="B9" s="2">
        <f>IFERROR(__xludf.DUMMYFUNCTION("SPLIT(A9, "" "")"),98.0)</f>
        <v>98</v>
      </c>
      <c r="C9" s="2" t="str">
        <f>IFERROR(__xludf.DUMMYFUNCTION("""COMPUTED_VALUE"""),"./src/algorithm/simple.rs")</f>
        <v>./src/algorithm/simple.rs</v>
      </c>
      <c r="D9" s="1" t="s">
        <v>2943</v>
      </c>
      <c r="F9" s="2" t="s">
        <v>2957</v>
      </c>
      <c r="G9" s="1" t="s">
        <v>2970</v>
      </c>
      <c r="H9" s="2">
        <f t="shared" si="1"/>
        <v>556</v>
      </c>
    </row>
    <row r="10">
      <c r="A10" s="1" t="s">
        <v>2971</v>
      </c>
      <c r="B10" s="2">
        <f>IFERROR(__xludf.DUMMYFUNCTION("SPLIT(A10, "" "")"),116.0)</f>
        <v>116</v>
      </c>
      <c r="C10" s="2" t="str">
        <f>IFERROR(__xludf.DUMMYFUNCTION("""COMPUTED_VALUE"""),"./src/constants.rs")</f>
        <v>./src/constants.rs</v>
      </c>
      <c r="D10" s="1" t="s">
        <v>2972</v>
      </c>
      <c r="F10" s="2" t="s">
        <v>2972</v>
      </c>
      <c r="G10" s="1" t="s">
        <v>2973</v>
      </c>
      <c r="H10" s="2">
        <f t="shared" si="1"/>
        <v>798</v>
      </c>
    </row>
    <row r="11">
      <c r="A11" s="1" t="s">
        <v>2974</v>
      </c>
      <c r="B11" s="2">
        <f>IFERROR(__xludf.DUMMYFUNCTION("SPLIT(A11, "" "")"),147.0)</f>
        <v>147</v>
      </c>
      <c r="C11" s="2" t="str">
        <f>IFERROR(__xludf.DUMMYFUNCTION("""COMPUTED_VALUE"""),"./src/interface.rs")</f>
        <v>./src/interface.rs</v>
      </c>
      <c r="D11" s="1" t="s">
        <v>2952</v>
      </c>
      <c r="F11" s="1" t="s">
        <v>2975</v>
      </c>
      <c r="G11" s="1" t="s">
        <v>2976</v>
      </c>
      <c r="H11" s="2">
        <f t="shared" si="1"/>
        <v>217</v>
      </c>
    </row>
    <row r="12">
      <c r="A12" s="1" t="s">
        <v>2977</v>
      </c>
      <c r="B12" s="2">
        <f>IFERROR(__xludf.DUMMYFUNCTION("SPLIT(A12, "" "")"),202.0)</f>
        <v>202</v>
      </c>
      <c r="C12" s="2" t="str">
        <f>IFERROR(__xludf.DUMMYFUNCTION("""COMPUTED_VALUE"""),"./src/search.rs")</f>
        <v>./src/search.rs</v>
      </c>
      <c r="D12" s="1" t="s">
        <v>2952</v>
      </c>
      <c r="F12" s="2" t="s">
        <v>2951</v>
      </c>
      <c r="G12" s="1" t="s">
        <v>2978</v>
      </c>
      <c r="H12" s="2">
        <f t="shared" si="1"/>
        <v>69</v>
      </c>
    </row>
    <row r="13">
      <c r="A13" s="1" t="s">
        <v>2979</v>
      </c>
      <c r="B13" s="2">
        <f>IFERROR(__xludf.DUMMYFUNCTION("SPLIT(A13, "" "")"),217.0)</f>
        <v>217</v>
      </c>
      <c r="C13" s="2" t="str">
        <f>IFERROR(__xludf.DUMMYFUNCTION("""COMPUTED_VALUE"""),"./src/util.rs")</f>
        <v>./src/util.rs</v>
      </c>
      <c r="D13" s="1" t="s">
        <v>2975</v>
      </c>
    </row>
    <row r="14">
      <c r="A14" s="1" t="s">
        <v>2980</v>
      </c>
      <c r="B14" s="2">
        <f>IFERROR(__xludf.DUMMYFUNCTION("SPLIT(A14, "" "")"),229.0)</f>
        <v>229</v>
      </c>
      <c r="C14" s="2" t="str">
        <f>IFERROR(__xludf.DUMMYFUNCTION("""COMPUTED_VALUE"""),"./src/driver.rs")</f>
        <v>./src/driver.rs</v>
      </c>
      <c r="D14" s="1" t="s">
        <v>2952</v>
      </c>
      <c r="G14" s="1" t="s">
        <v>2981</v>
      </c>
      <c r="H14" s="2">
        <f>SUM(H2:H12)</f>
        <v>5324</v>
      </c>
    </row>
    <row r="15">
      <c r="A15" s="1" t="s">
        <v>2982</v>
      </c>
      <c r="B15" s="2">
        <f>IFERROR(__xludf.DUMMYFUNCTION("SPLIT(A15, "" "")"),249.0)</f>
        <v>249</v>
      </c>
      <c r="C15" s="2" t="str">
        <f>IFERROR(__xludf.DUMMYFUNCTION("""COMPUTED_VALUE"""),"./src/example.rs")</f>
        <v>./src/example.rs</v>
      </c>
      <c r="D15" s="1" t="s">
        <v>2952</v>
      </c>
    </row>
    <row r="16">
      <c r="A16" s="1" t="s">
        <v>2983</v>
      </c>
      <c r="B16" s="2">
        <f>IFERROR(__xludf.DUMMYFUNCTION("SPLIT(A16, "" "")"),253.0)</f>
        <v>253</v>
      </c>
      <c r="C16" s="2" t="str">
        <f>IFERROR(__xludf.DUMMYFUNCTION("""COMPUTED_VALUE"""),"./src/algorithm/log.rs")</f>
        <v>./src/algorithm/log.rs</v>
      </c>
      <c r="D16" s="1" t="s">
        <v>2962</v>
      </c>
    </row>
    <row r="17">
      <c r="A17" s="1" t="s">
        <v>2984</v>
      </c>
      <c r="B17" s="2">
        <f>IFERROR(__xludf.DUMMYFUNCTION("SPLIT(A17, "" "")"),265.0)</f>
        <v>265</v>
      </c>
      <c r="C17" s="2" t="str">
        <f>IFERROR(__xludf.DUMMYFUNCTION("""COMPUTED_VALUE"""),"./src/algorithm/bfgt.rs")</f>
        <v>./src/algorithm/bfgt.rs</v>
      </c>
      <c r="D17" s="1" t="s">
        <v>2944</v>
      </c>
    </row>
    <row r="18">
      <c r="A18" s="1" t="s">
        <v>2985</v>
      </c>
      <c r="B18" s="2">
        <f>IFERROR(__xludf.DUMMYFUNCTION("SPLIT(A18, "" "")"),283.0)</f>
        <v>283</v>
      </c>
      <c r="C18" s="2" t="str">
        <f>IFERROR(__xludf.DUMMYFUNCTION("""COMPUTED_VALUE"""),"./src/algorithm/jump.rs")</f>
        <v>./src/algorithm/jump.rs</v>
      </c>
      <c r="D18" s="1" t="s">
        <v>2946</v>
      </c>
    </row>
    <row r="19">
      <c r="A19" s="1" t="s">
        <v>2986</v>
      </c>
      <c r="B19" s="2">
        <f>IFERROR(__xludf.DUMMYFUNCTION("SPLIT(A19, "" "")"),307.0)</f>
        <v>307</v>
      </c>
      <c r="C19" s="2" t="str">
        <f>IFERROR(__xludf.DUMMYFUNCTION("""COMPUTED_VALUE"""),"./src/hashy.rs")</f>
        <v>./src/hashy.rs</v>
      </c>
      <c r="D19" s="1" t="s">
        <v>2967</v>
      </c>
    </row>
    <row r="20">
      <c r="A20" s="1" t="s">
        <v>2987</v>
      </c>
      <c r="B20" s="2">
        <f>IFERROR(__xludf.DUMMYFUNCTION("SPLIT(A20, "" "")"),370.0)</f>
        <v>370</v>
      </c>
      <c r="C20" s="2" t="str">
        <f>IFERROR(__xludf.DUMMYFUNCTION("""COMPUTED_VALUE"""),"./src/graph.rs")</f>
        <v>./src/graph.rs</v>
      </c>
      <c r="D20" s="1" t="s">
        <v>2952</v>
      </c>
    </row>
    <row r="21">
      <c r="A21" s="1" t="s">
        <v>2988</v>
      </c>
      <c r="B21" s="2">
        <f>IFERROR(__xludf.DUMMYFUNCTION("SPLIT(A21, "" "")"),389.0)</f>
        <v>389</v>
      </c>
      <c r="C21" s="2" t="str">
        <f>IFERROR(__xludf.DUMMYFUNCTION("""COMPUTED_VALUE"""),"./src/euler_forest.rs")</f>
        <v>./src/euler_forest.rs</v>
      </c>
      <c r="D21" s="1" t="s">
        <v>2967</v>
      </c>
    </row>
    <row r="22">
      <c r="A22" s="1" t="s">
        <v>2989</v>
      </c>
      <c r="B22" s="2">
        <f>IFERROR(__xludf.DUMMYFUNCTION("SPLIT(A22, "" "")"),420.0)</f>
        <v>420</v>
      </c>
      <c r="C22" s="2" t="str">
        <f>IFERROR(__xludf.DUMMYFUNCTION("""COMPUTED_VALUE"""),"./src/bin/example_gen.rs")</f>
        <v>./src/bin/example_gen.rs</v>
      </c>
      <c r="D22" s="1" t="s">
        <v>2957</v>
      </c>
    </row>
    <row r="23">
      <c r="A23" s="1" t="s">
        <v>2990</v>
      </c>
      <c r="B23" s="2">
        <f>IFERROR(__xludf.DUMMYFUNCTION("SPLIT(A23, "" "")"),682.0)</f>
        <v>682</v>
      </c>
      <c r="C23" s="2" t="str">
        <f>IFERROR(__xludf.DUMMYFUNCTION("""COMPUTED_VALUE"""),"./tests/test_examples.rs")</f>
        <v>./tests/test_examples.rs</v>
      </c>
      <c r="D23" s="1" t="s">
        <v>2972</v>
      </c>
    </row>
    <row r="24">
      <c r="A24" s="1" t="s">
        <v>2991</v>
      </c>
      <c r="B24" s="2">
        <f>IFERROR(__xludf.DUMMYFUNCTION("SPLIT(A24, "" "")"),814.0)</f>
        <v>814</v>
      </c>
      <c r="C24" s="2" t="str">
        <f>IFERROR(__xludf.DUMMYFUNCTION("""COMPUTED_VALUE"""),"./src/avl_forest.rs")</f>
        <v>./src/avl_forest.rs</v>
      </c>
      <c r="D24" s="1" t="s">
        <v>2967</v>
      </c>
    </row>
    <row r="26">
      <c r="A26" s="1" t="s">
        <v>2992</v>
      </c>
      <c r="B26" s="2">
        <f>IFERROR(__xludf.DUMMYFUNCTION("SPLIT(A26, "" "")"),5324.0)</f>
        <v>5324</v>
      </c>
      <c r="C26" s="2" t="str">
        <f>IFERROR(__xludf.DUMMYFUNCTION("""COMPUTED_VALUE"""),"total")</f>
        <v>total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89</v>
      </c>
      <c r="B2" s="1">
        <v>7.0</v>
      </c>
      <c r="C2" s="1">
        <v>0.0</v>
      </c>
      <c r="D2" s="1">
        <v>0.0</v>
      </c>
      <c r="E2" s="1">
        <v>0.0</v>
      </c>
      <c r="F2" s="1">
        <v>0.0</v>
      </c>
    </row>
    <row r="3">
      <c r="A3" s="1" t="s">
        <v>94</v>
      </c>
      <c r="B3" s="1">
        <v>5.0</v>
      </c>
      <c r="C3" s="1">
        <v>0.0</v>
      </c>
      <c r="D3" s="1">
        <v>0.0</v>
      </c>
      <c r="E3" s="1">
        <v>0.0</v>
      </c>
      <c r="F3" s="1">
        <v>0.0</v>
      </c>
    </row>
    <row r="4">
      <c r="A4" s="1" t="s">
        <v>98</v>
      </c>
      <c r="B4" s="1">
        <v>12.0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86</v>
      </c>
      <c r="B5" s="1">
        <v>6.0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83</v>
      </c>
      <c r="B6" s="1">
        <v>3.0</v>
      </c>
      <c r="C6" s="1">
        <v>0.0</v>
      </c>
      <c r="D6" s="1">
        <v>0.0</v>
      </c>
      <c r="E6" s="1">
        <v>0.0</v>
      </c>
      <c r="F6" s="1">
        <v>0.0</v>
      </c>
    </row>
    <row r="7">
      <c r="A7" s="1" t="s">
        <v>79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</row>
    <row r="8">
      <c r="A8" s="1" t="s">
        <v>81</v>
      </c>
      <c r="B8" s="1">
        <v>4.0</v>
      </c>
      <c r="C8" s="1">
        <v>0.0</v>
      </c>
      <c r="D8" s="1">
        <v>0.0</v>
      </c>
      <c r="E8" s="1">
        <v>0.0</v>
      </c>
      <c r="F8" s="1">
        <v>0.0</v>
      </c>
    </row>
    <row r="9">
      <c r="A9" s="1" t="s">
        <v>88</v>
      </c>
      <c r="B9" s="1">
        <v>3.0</v>
      </c>
      <c r="C9" s="1">
        <v>0.0</v>
      </c>
      <c r="D9" s="1">
        <v>0.0</v>
      </c>
      <c r="E9" s="1">
        <v>0.0</v>
      </c>
      <c r="F9" s="1">
        <v>0.0</v>
      </c>
    </row>
    <row r="10">
      <c r="A10" s="1" t="s">
        <v>92</v>
      </c>
      <c r="B10" s="1">
        <v>7.0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97</v>
      </c>
      <c r="B11" s="1">
        <v>7.0</v>
      </c>
      <c r="C11" s="1">
        <v>0.0</v>
      </c>
      <c r="D11" s="1">
        <v>0.0</v>
      </c>
      <c r="E11" s="1">
        <v>0.0</v>
      </c>
      <c r="F11" s="1">
        <v>0.0</v>
      </c>
    </row>
    <row r="12">
      <c r="A12" s="1" t="s">
        <v>85</v>
      </c>
      <c r="B12" s="1">
        <v>29.0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1" t="s">
        <v>13</v>
      </c>
      <c r="B13" s="1">
        <v>7.0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37</v>
      </c>
      <c r="B14" s="1">
        <v>21.0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1" t="s">
        <v>2993</v>
      </c>
      <c r="B15" s="1">
        <v>41.0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 t="s">
        <v>14</v>
      </c>
      <c r="B16" s="1">
        <v>201.0</v>
      </c>
      <c r="C16" s="1">
        <v>2.0</v>
      </c>
      <c r="D16" s="1">
        <v>0.0</v>
      </c>
      <c r="E16" s="1">
        <v>0.0</v>
      </c>
      <c r="F16" s="1">
        <v>0.0</v>
      </c>
    </row>
    <row r="17">
      <c r="A17" s="1" t="s">
        <v>55</v>
      </c>
      <c r="B17" s="1">
        <v>2001.0</v>
      </c>
      <c r="C17" s="1">
        <v>256.0</v>
      </c>
      <c r="D17" s="1">
        <v>2.0</v>
      </c>
      <c r="E17" s="1">
        <v>7.0</v>
      </c>
      <c r="F17" s="1">
        <v>2.0</v>
      </c>
    </row>
    <row r="18">
      <c r="A18" s="1" t="s">
        <v>47</v>
      </c>
      <c r="B18" s="1">
        <v>20001.0</v>
      </c>
      <c r="C18" s="1">
        <v>51881.0</v>
      </c>
      <c r="D18" s="1">
        <v>46.0</v>
      </c>
      <c r="E18" s="1">
        <v>224.0</v>
      </c>
      <c r="F18" s="1">
        <v>33.0</v>
      </c>
    </row>
    <row r="19">
      <c r="A19" s="1" t="s">
        <v>2994</v>
      </c>
      <c r="B19" s="1">
        <v>6.0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2995</v>
      </c>
      <c r="B20" s="1">
        <v>20.0</v>
      </c>
      <c r="C20" s="1">
        <v>0.0</v>
      </c>
      <c r="D20" s="1">
        <v>0.0</v>
      </c>
      <c r="E20" s="1">
        <v>0.0</v>
      </c>
      <c r="F20" s="1">
        <v>0.0</v>
      </c>
    </row>
    <row r="21">
      <c r="A21" s="1" t="s">
        <v>2996</v>
      </c>
      <c r="B21" s="1">
        <v>40.0</v>
      </c>
      <c r="C21" s="1">
        <v>0.0</v>
      </c>
      <c r="D21" s="1">
        <v>0.0</v>
      </c>
      <c r="E21" s="1">
        <v>0.0</v>
      </c>
      <c r="F21" s="1">
        <v>0.0</v>
      </c>
    </row>
    <row r="22">
      <c r="A22" s="1" t="s">
        <v>2997</v>
      </c>
      <c r="B22" s="1">
        <v>200.0</v>
      </c>
      <c r="C22" s="1">
        <v>3.0</v>
      </c>
      <c r="D22" s="1">
        <v>0.0</v>
      </c>
      <c r="E22" s="1">
        <v>0.0</v>
      </c>
      <c r="F22" s="1">
        <v>0.0</v>
      </c>
    </row>
    <row r="23">
      <c r="A23" s="1" t="s">
        <v>2998</v>
      </c>
      <c r="B23" s="1">
        <v>2000.0</v>
      </c>
      <c r="C23" s="1">
        <v>285.0</v>
      </c>
      <c r="D23" s="1">
        <v>1.0</v>
      </c>
      <c r="E23" s="1">
        <v>6.0</v>
      </c>
      <c r="F23" s="1">
        <v>1.0</v>
      </c>
    </row>
    <row r="24">
      <c r="A24" s="1" t="s">
        <v>2999</v>
      </c>
      <c r="B24" s="1">
        <v>20000.0</v>
      </c>
      <c r="C24" s="1">
        <v>50759.0</v>
      </c>
      <c r="D24" s="1">
        <v>24.0</v>
      </c>
      <c r="E24" s="1">
        <v>189.0</v>
      </c>
      <c r="F24" s="1">
        <v>15.0</v>
      </c>
    </row>
    <row r="25">
      <c r="A25" s="1" t="s">
        <v>3000</v>
      </c>
      <c r="B25" s="1">
        <v>7.0</v>
      </c>
      <c r="C25" s="1">
        <v>0.0</v>
      </c>
      <c r="D25" s="1">
        <v>0.0</v>
      </c>
      <c r="E25" s="1">
        <v>0.0</v>
      </c>
      <c r="F25" s="1">
        <v>0.0</v>
      </c>
    </row>
    <row r="26">
      <c r="A26" s="1" t="s">
        <v>3001</v>
      </c>
      <c r="B26" s="1">
        <v>21.0</v>
      </c>
      <c r="C26" s="1">
        <v>0.0</v>
      </c>
      <c r="D26" s="1">
        <v>0.0</v>
      </c>
      <c r="E26" s="1">
        <v>0.0</v>
      </c>
      <c r="F26" s="1">
        <v>0.0</v>
      </c>
    </row>
    <row r="27">
      <c r="A27" s="1" t="s">
        <v>3002</v>
      </c>
      <c r="B27" s="1">
        <v>41.0</v>
      </c>
      <c r="C27" s="1">
        <v>0.0</v>
      </c>
      <c r="D27" s="1">
        <v>0.0</v>
      </c>
      <c r="E27" s="1">
        <v>0.0</v>
      </c>
      <c r="F27" s="1">
        <v>0.0</v>
      </c>
    </row>
    <row r="28">
      <c r="A28" s="1" t="s">
        <v>3003</v>
      </c>
      <c r="B28" s="1">
        <v>201.0</v>
      </c>
      <c r="C28" s="1">
        <v>2.0</v>
      </c>
      <c r="D28" s="1">
        <v>0.0</v>
      </c>
      <c r="E28" s="1">
        <v>0.0</v>
      </c>
      <c r="F28" s="1">
        <v>0.0</v>
      </c>
    </row>
    <row r="29">
      <c r="A29" s="1" t="s">
        <v>3004</v>
      </c>
      <c r="B29" s="1">
        <v>2001.0</v>
      </c>
      <c r="C29" s="1">
        <v>286.0</v>
      </c>
      <c r="D29" s="1">
        <v>2.0</v>
      </c>
      <c r="E29" s="1">
        <v>8.0</v>
      </c>
      <c r="F29" s="1">
        <v>1.0</v>
      </c>
    </row>
    <row r="30">
      <c r="A30" s="1" t="s">
        <v>3005</v>
      </c>
      <c r="B30" s="1">
        <v>20001.0</v>
      </c>
      <c r="C30" s="1">
        <v>50970.0</v>
      </c>
      <c r="D30" s="1">
        <v>47.0</v>
      </c>
      <c r="E30" s="1">
        <v>224.0</v>
      </c>
      <c r="F30" s="1">
        <v>16.0</v>
      </c>
    </row>
    <row r="31">
      <c r="A31" s="1" t="s">
        <v>69</v>
      </c>
      <c r="B31" s="1">
        <v>6.0</v>
      </c>
      <c r="C31" s="1">
        <v>0.0</v>
      </c>
      <c r="D31" s="1">
        <v>0.0</v>
      </c>
      <c r="E31" s="1">
        <v>0.0</v>
      </c>
      <c r="F31" s="1">
        <v>0.0</v>
      </c>
    </row>
    <row r="32">
      <c r="A32" s="1" t="s">
        <v>24</v>
      </c>
      <c r="B32" s="1">
        <v>20.0</v>
      </c>
      <c r="C32" s="1">
        <v>0.0</v>
      </c>
      <c r="D32" s="1">
        <v>0.0</v>
      </c>
      <c r="E32" s="1">
        <v>0.0</v>
      </c>
      <c r="F32" s="1">
        <v>0.0</v>
      </c>
    </row>
    <row r="33">
      <c r="A33" s="1" t="s">
        <v>3006</v>
      </c>
      <c r="B33" s="1">
        <v>40.0</v>
      </c>
      <c r="C33" s="1">
        <v>0.0</v>
      </c>
      <c r="D33" s="1">
        <v>0.0</v>
      </c>
      <c r="E33" s="1">
        <v>0.0</v>
      </c>
      <c r="F33" s="1">
        <v>0.0</v>
      </c>
    </row>
    <row r="34">
      <c r="A34" s="1" t="s">
        <v>52</v>
      </c>
      <c r="B34" s="1">
        <v>200.0</v>
      </c>
      <c r="C34" s="1">
        <v>3.0</v>
      </c>
      <c r="D34" s="1">
        <v>0.0</v>
      </c>
      <c r="E34" s="1">
        <v>0.0</v>
      </c>
      <c r="F34" s="1">
        <v>0.0</v>
      </c>
    </row>
    <row r="35">
      <c r="A35" s="1" t="s">
        <v>15</v>
      </c>
      <c r="B35" s="1">
        <v>2000.0</v>
      </c>
      <c r="C35" s="1">
        <v>270.0</v>
      </c>
      <c r="D35" s="1">
        <v>2.0</v>
      </c>
      <c r="E35" s="1">
        <v>8.0</v>
      </c>
      <c r="F35" s="1">
        <v>2.0</v>
      </c>
    </row>
    <row r="36">
      <c r="A36" s="1" t="s">
        <v>74</v>
      </c>
      <c r="B36" s="1">
        <v>20000.0</v>
      </c>
      <c r="C36" s="1" t="s">
        <v>28</v>
      </c>
      <c r="D36" s="1">
        <v>69.0</v>
      </c>
      <c r="E36" s="1">
        <v>304.0</v>
      </c>
      <c r="F36" s="1">
        <v>41.0</v>
      </c>
    </row>
    <row r="37">
      <c r="A37" s="1" t="s">
        <v>30</v>
      </c>
      <c r="B37" s="1">
        <v>7.0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1" t="s">
        <v>67</v>
      </c>
      <c r="B38" s="1">
        <v>21.0</v>
      </c>
      <c r="C38" s="1">
        <v>0.0</v>
      </c>
      <c r="D38" s="1">
        <v>0.0</v>
      </c>
      <c r="E38" s="1">
        <v>0.0</v>
      </c>
      <c r="F38" s="1">
        <v>0.0</v>
      </c>
    </row>
    <row r="39">
      <c r="A39" s="1" t="s">
        <v>3007</v>
      </c>
      <c r="B39" s="1">
        <v>41.0</v>
      </c>
      <c r="C39" s="1">
        <v>0.0</v>
      </c>
      <c r="D39" s="1">
        <v>0.0</v>
      </c>
      <c r="E39" s="1">
        <v>0.0</v>
      </c>
      <c r="F39" s="1">
        <v>0.0</v>
      </c>
    </row>
    <row r="40">
      <c r="A40" s="1" t="s">
        <v>34</v>
      </c>
      <c r="B40" s="1">
        <v>201.0</v>
      </c>
      <c r="C40" s="1">
        <v>3.0</v>
      </c>
      <c r="D40" s="1">
        <v>2.0</v>
      </c>
      <c r="E40" s="1">
        <v>0.0</v>
      </c>
      <c r="F40" s="1">
        <v>0.0</v>
      </c>
    </row>
    <row r="41">
      <c r="A41" s="1" t="s">
        <v>20</v>
      </c>
      <c r="B41" s="1">
        <v>2001.0</v>
      </c>
      <c r="C41" s="1">
        <v>283.0</v>
      </c>
      <c r="D41" s="1">
        <v>162.0</v>
      </c>
      <c r="E41" s="1">
        <v>2.0</v>
      </c>
      <c r="F41" s="1">
        <v>7.0</v>
      </c>
    </row>
    <row r="42">
      <c r="A42" s="1" t="s">
        <v>32</v>
      </c>
      <c r="B42" s="1">
        <v>20001.0</v>
      </c>
      <c r="C42" s="1">
        <v>28548.0</v>
      </c>
      <c r="D42" s="1">
        <v>17893.0</v>
      </c>
      <c r="E42" s="1">
        <v>30.0</v>
      </c>
      <c r="F42" s="1">
        <v>110.0</v>
      </c>
    </row>
    <row r="43">
      <c r="A43" s="1" t="s">
        <v>3008</v>
      </c>
      <c r="B43" s="1">
        <v>6.0</v>
      </c>
      <c r="C43" s="1">
        <v>0.0</v>
      </c>
      <c r="D43" s="1">
        <v>0.0</v>
      </c>
      <c r="E43" s="1">
        <v>0.0</v>
      </c>
      <c r="F43" s="1">
        <v>0.0</v>
      </c>
    </row>
    <row r="44">
      <c r="A44" s="1" t="s">
        <v>3009</v>
      </c>
      <c r="B44" s="1">
        <v>20.0</v>
      </c>
      <c r="C44" s="1">
        <v>0.0</v>
      </c>
      <c r="D44" s="1">
        <v>0.0</v>
      </c>
      <c r="E44" s="1">
        <v>0.0</v>
      </c>
      <c r="F44" s="1">
        <v>0.0</v>
      </c>
    </row>
    <row r="45">
      <c r="A45" s="1" t="s">
        <v>3010</v>
      </c>
      <c r="B45" s="1">
        <v>40.0</v>
      </c>
      <c r="C45" s="1">
        <v>0.0</v>
      </c>
      <c r="D45" s="1">
        <v>0.0</v>
      </c>
      <c r="E45" s="1">
        <v>0.0</v>
      </c>
      <c r="F45" s="1">
        <v>0.0</v>
      </c>
    </row>
    <row r="46">
      <c r="A46" s="1" t="s">
        <v>3011</v>
      </c>
      <c r="B46" s="1">
        <v>200.0</v>
      </c>
      <c r="C46" s="1">
        <v>2.0</v>
      </c>
      <c r="D46" s="1">
        <v>1.0</v>
      </c>
      <c r="E46" s="1">
        <v>0.0</v>
      </c>
      <c r="F46" s="1">
        <v>0.0</v>
      </c>
    </row>
    <row r="47">
      <c r="A47" s="1" t="s">
        <v>3012</v>
      </c>
      <c r="B47" s="1">
        <v>2000.0</v>
      </c>
      <c r="C47" s="1">
        <v>197.0</v>
      </c>
      <c r="D47" s="1">
        <v>142.0</v>
      </c>
      <c r="E47" s="1">
        <v>1.0</v>
      </c>
      <c r="F47" s="1">
        <v>5.0</v>
      </c>
    </row>
    <row r="48">
      <c r="A48" s="1" t="s">
        <v>3013</v>
      </c>
      <c r="B48" s="1">
        <v>20000.0</v>
      </c>
      <c r="C48" s="1">
        <v>23607.0</v>
      </c>
      <c r="D48" s="1">
        <v>17527.0</v>
      </c>
      <c r="E48" s="1">
        <v>14.0</v>
      </c>
      <c r="F48" s="1">
        <v>85.0</v>
      </c>
    </row>
    <row r="49">
      <c r="A49" s="1" t="s">
        <v>3014</v>
      </c>
      <c r="B49" s="1">
        <v>7.0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 t="s">
        <v>3015</v>
      </c>
      <c r="B50" s="1">
        <v>21.0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 t="s">
        <v>3016</v>
      </c>
      <c r="B51" s="1">
        <v>41.0</v>
      </c>
      <c r="C51" s="1">
        <v>0.0</v>
      </c>
      <c r="D51" s="1">
        <v>0.0</v>
      </c>
      <c r="E51" s="1">
        <v>0.0</v>
      </c>
      <c r="F51" s="1">
        <v>0.0</v>
      </c>
    </row>
    <row r="52">
      <c r="A52" s="1" t="s">
        <v>3017</v>
      </c>
      <c r="B52" s="1">
        <v>201.0</v>
      </c>
      <c r="C52" s="1">
        <v>1.0</v>
      </c>
      <c r="D52" s="1">
        <v>1.0</v>
      </c>
      <c r="E52" s="1">
        <v>0.0</v>
      </c>
      <c r="F52" s="1">
        <v>0.0</v>
      </c>
    </row>
    <row r="53">
      <c r="A53" s="1" t="s">
        <v>3018</v>
      </c>
      <c r="B53" s="1">
        <v>2001.0</v>
      </c>
      <c r="C53" s="1">
        <v>201.0</v>
      </c>
      <c r="D53" s="1">
        <v>147.0</v>
      </c>
      <c r="E53" s="1">
        <v>2.0</v>
      </c>
      <c r="F53" s="1">
        <v>6.0</v>
      </c>
    </row>
    <row r="54">
      <c r="A54" s="1" t="s">
        <v>3019</v>
      </c>
      <c r="B54" s="1">
        <v>20001.0</v>
      </c>
      <c r="C54" s="1">
        <v>24009.0</v>
      </c>
      <c r="D54" s="1">
        <v>19130.0</v>
      </c>
      <c r="E54" s="1">
        <v>36.0</v>
      </c>
      <c r="F54" s="1">
        <v>89.0</v>
      </c>
    </row>
    <row r="55">
      <c r="A55" s="1" t="s">
        <v>66</v>
      </c>
      <c r="B55" s="1">
        <v>6.0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1" t="s">
        <v>49</v>
      </c>
      <c r="B56" s="1">
        <v>20.0</v>
      </c>
      <c r="C56" s="1">
        <v>0.0</v>
      </c>
      <c r="D56" s="1">
        <v>0.0</v>
      </c>
      <c r="E56" s="1">
        <v>0.0</v>
      </c>
      <c r="F56" s="1">
        <v>0.0</v>
      </c>
    </row>
    <row r="57">
      <c r="A57" s="1" t="s">
        <v>3020</v>
      </c>
      <c r="B57" s="1">
        <v>40.0</v>
      </c>
      <c r="C57" s="1">
        <v>0.0</v>
      </c>
      <c r="D57" s="1">
        <v>0.0</v>
      </c>
      <c r="E57" s="1">
        <v>0.0</v>
      </c>
      <c r="F57" s="1">
        <v>0.0</v>
      </c>
    </row>
    <row r="58">
      <c r="A58" s="1" t="s">
        <v>54</v>
      </c>
      <c r="B58" s="1">
        <v>200.0</v>
      </c>
      <c r="C58" s="1">
        <v>2.0</v>
      </c>
      <c r="D58" s="1">
        <v>1.0</v>
      </c>
      <c r="E58" s="1">
        <v>0.0</v>
      </c>
      <c r="F58" s="1">
        <v>0.0</v>
      </c>
    </row>
    <row r="59">
      <c r="A59" s="1" t="s">
        <v>60</v>
      </c>
      <c r="B59" s="1">
        <v>2000.0</v>
      </c>
      <c r="C59" s="1">
        <v>224.0</v>
      </c>
      <c r="D59" s="1">
        <v>155.0</v>
      </c>
      <c r="E59" s="1">
        <v>4.0</v>
      </c>
      <c r="F59" s="1">
        <v>7.0</v>
      </c>
    </row>
    <row r="60">
      <c r="A60" s="1" t="s">
        <v>35</v>
      </c>
      <c r="B60" s="1">
        <v>20000.0</v>
      </c>
      <c r="C60" s="1">
        <v>24675.0</v>
      </c>
      <c r="D60" s="1">
        <v>18075.0</v>
      </c>
      <c r="E60" s="1">
        <v>39.0</v>
      </c>
      <c r="F60" s="1">
        <v>107.0</v>
      </c>
    </row>
    <row r="61">
      <c r="A61" s="1" t="s">
        <v>102</v>
      </c>
      <c r="B61" s="1">
        <v>55.0</v>
      </c>
      <c r="C61" s="1">
        <v>0.0</v>
      </c>
      <c r="D61" s="1">
        <v>0.0</v>
      </c>
      <c r="E61" s="1">
        <v>0.0</v>
      </c>
      <c r="F61" s="1">
        <v>0.0</v>
      </c>
    </row>
    <row r="62">
      <c r="A62" s="1" t="s">
        <v>99</v>
      </c>
      <c r="B62" s="1">
        <v>1536.0</v>
      </c>
      <c r="C62" s="1">
        <v>75.0</v>
      </c>
      <c r="D62" s="1">
        <v>4.0</v>
      </c>
      <c r="E62" s="1">
        <v>15.0</v>
      </c>
      <c r="F62" s="1">
        <v>2.0</v>
      </c>
    </row>
    <row r="63">
      <c r="A63" s="1" t="s">
        <v>100</v>
      </c>
      <c r="B63" s="1">
        <v>55.0</v>
      </c>
      <c r="C63" s="1">
        <v>0.0</v>
      </c>
      <c r="D63" s="1">
        <v>0.0</v>
      </c>
      <c r="E63" s="1">
        <v>0.0</v>
      </c>
      <c r="F63" s="1">
        <v>0.0</v>
      </c>
    </row>
    <row r="64">
      <c r="A64" s="1" t="s">
        <v>101</v>
      </c>
      <c r="B64" s="1">
        <v>21.0</v>
      </c>
      <c r="C64" s="1">
        <v>0.0</v>
      </c>
      <c r="D64" s="1">
        <v>0.0</v>
      </c>
      <c r="E64" s="1">
        <v>0.0</v>
      </c>
      <c r="F64" s="1">
        <v>0.0</v>
      </c>
    </row>
    <row r="65">
      <c r="A65" s="1" t="s">
        <v>112</v>
      </c>
      <c r="B65" s="1">
        <v>149.0</v>
      </c>
      <c r="C65" s="1">
        <v>0.0</v>
      </c>
      <c r="D65" s="1">
        <v>0.0</v>
      </c>
      <c r="E65" s="1">
        <v>0.0</v>
      </c>
      <c r="F65" s="1">
        <v>0.0</v>
      </c>
    </row>
    <row r="66">
      <c r="A66" s="1" t="s">
        <v>111</v>
      </c>
      <c r="B66" s="1">
        <v>147.0</v>
      </c>
      <c r="C66" s="1">
        <v>0.0</v>
      </c>
      <c r="D66" s="1">
        <v>0.0</v>
      </c>
      <c r="E66" s="1">
        <v>0.0</v>
      </c>
      <c r="F66" s="1">
        <v>0.0</v>
      </c>
    </row>
    <row r="67">
      <c r="A67" s="1" t="s">
        <v>104</v>
      </c>
      <c r="B67" s="1">
        <v>1733.0</v>
      </c>
      <c r="C67" s="1">
        <v>54.0</v>
      </c>
      <c r="D67" s="1">
        <v>2.0</v>
      </c>
      <c r="E67" s="1">
        <v>3.0</v>
      </c>
      <c r="F67" s="1">
        <v>1.0</v>
      </c>
    </row>
    <row r="68">
      <c r="A68" s="1" t="s">
        <v>106</v>
      </c>
      <c r="B68" s="1">
        <v>1731.0</v>
      </c>
      <c r="C68" s="1">
        <v>55.0</v>
      </c>
      <c r="D68" s="1">
        <v>2.0</v>
      </c>
      <c r="E68" s="1">
        <v>3.0</v>
      </c>
      <c r="F68" s="1">
        <v>1.0</v>
      </c>
    </row>
    <row r="69">
      <c r="A69" s="1" t="s">
        <v>113</v>
      </c>
      <c r="B69" s="1">
        <v>1763.0</v>
      </c>
      <c r="C69" s="1">
        <v>60.0</v>
      </c>
      <c r="D69" s="1">
        <v>2.0</v>
      </c>
      <c r="E69" s="1">
        <v>3.0</v>
      </c>
      <c r="F69" s="1">
        <v>1.0</v>
      </c>
    </row>
    <row r="70">
      <c r="A70" s="1" t="s">
        <v>119</v>
      </c>
      <c r="B70" s="1">
        <v>15.0</v>
      </c>
      <c r="C70" s="1">
        <v>0.0</v>
      </c>
      <c r="D70" s="1">
        <v>0.0</v>
      </c>
      <c r="E70" s="1">
        <v>0.0</v>
      </c>
      <c r="F70" s="1">
        <v>0.0</v>
      </c>
    </row>
    <row r="71">
      <c r="A71" s="1" t="s">
        <v>121</v>
      </c>
      <c r="B71" s="1">
        <v>19.0</v>
      </c>
      <c r="C71" s="1">
        <v>0.0</v>
      </c>
      <c r="D71" s="1">
        <v>0.0</v>
      </c>
      <c r="E71" s="1">
        <v>0.0</v>
      </c>
      <c r="F71" s="1">
        <v>0.0</v>
      </c>
    </row>
    <row r="72">
      <c r="A72" s="1" t="s">
        <v>117</v>
      </c>
      <c r="B72" s="1">
        <v>68.0</v>
      </c>
      <c r="C72" s="1">
        <v>0.0</v>
      </c>
      <c r="D72" s="1">
        <v>0.0</v>
      </c>
      <c r="E72" s="1">
        <v>0.0</v>
      </c>
      <c r="F72" s="1">
        <v>0.0</v>
      </c>
    </row>
    <row r="73">
      <c r="A73" s="1" t="s">
        <v>114</v>
      </c>
      <c r="B73" s="1">
        <v>1.0</v>
      </c>
      <c r="C73" s="1">
        <v>0.0</v>
      </c>
      <c r="D73" s="1">
        <v>0.0</v>
      </c>
      <c r="E73" s="1">
        <v>0.0</v>
      </c>
      <c r="F73" s="1">
        <v>0.0</v>
      </c>
    </row>
    <row r="74">
      <c r="A74" s="1" t="s">
        <v>116</v>
      </c>
      <c r="B74" s="1">
        <v>7.0</v>
      </c>
      <c r="C74" s="1">
        <v>0.0</v>
      </c>
      <c r="D74" s="1">
        <v>0.0</v>
      </c>
      <c r="E74" s="1">
        <v>0.0</v>
      </c>
      <c r="F74" s="1">
        <v>0.0</v>
      </c>
    </row>
    <row r="75">
      <c r="A75" s="1" t="s">
        <v>115</v>
      </c>
      <c r="B75" s="1">
        <v>12.0</v>
      </c>
      <c r="C75" s="1">
        <v>0.0</v>
      </c>
      <c r="D75" s="1">
        <v>0.0</v>
      </c>
      <c r="E75" s="1">
        <v>0.0</v>
      </c>
      <c r="F75" s="1">
        <v>0.0</v>
      </c>
    </row>
    <row r="76">
      <c r="A76" s="1" t="s">
        <v>118</v>
      </c>
      <c r="B76" s="1">
        <v>42.0</v>
      </c>
      <c r="C76" s="1">
        <v>0.0</v>
      </c>
      <c r="D76" s="1">
        <v>0.0</v>
      </c>
      <c r="E76" s="1">
        <v>0.0</v>
      </c>
      <c r="F76" s="1">
        <v>0.0</v>
      </c>
    </row>
    <row r="77">
      <c r="A77" s="1" t="s">
        <v>122</v>
      </c>
      <c r="B77" s="1">
        <v>18.0</v>
      </c>
      <c r="C77" s="1">
        <v>0.0</v>
      </c>
      <c r="D77" s="1">
        <v>0.0</v>
      </c>
      <c r="E77" s="1">
        <v>0.0</v>
      </c>
      <c r="F77" s="1">
        <v>0.0</v>
      </c>
    </row>
    <row r="78">
      <c r="A78" s="1" t="s">
        <v>120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</row>
    <row r="79">
      <c r="A79" s="1" t="s">
        <v>123</v>
      </c>
      <c r="B79" s="1">
        <v>114.0</v>
      </c>
      <c r="C79" s="1">
        <v>0.0</v>
      </c>
      <c r="D79" s="1">
        <v>0.0</v>
      </c>
      <c r="E79" s="1">
        <v>0.0</v>
      </c>
      <c r="F79" s="1">
        <v>0.0</v>
      </c>
    </row>
    <row r="80">
      <c r="A80" s="1" t="s">
        <v>129</v>
      </c>
      <c r="B80" s="1">
        <v>334.0</v>
      </c>
      <c r="C80" s="1">
        <v>5.0</v>
      </c>
      <c r="D80" s="1">
        <v>1.0</v>
      </c>
      <c r="E80" s="1">
        <v>0.0</v>
      </c>
      <c r="F80" s="1">
        <v>0.0</v>
      </c>
    </row>
    <row r="81">
      <c r="A81" s="1" t="s">
        <v>126</v>
      </c>
      <c r="B81" s="1">
        <v>1104.0</v>
      </c>
      <c r="C81" s="1">
        <v>53.0</v>
      </c>
      <c r="D81" s="1">
        <v>10.0</v>
      </c>
      <c r="E81" s="1">
        <v>2.0</v>
      </c>
      <c r="F81" s="1">
        <v>0.0</v>
      </c>
    </row>
    <row r="82">
      <c r="A82" s="1" t="s">
        <v>132</v>
      </c>
      <c r="B82" s="1">
        <v>16.0</v>
      </c>
      <c r="C82" s="1">
        <v>0.0</v>
      </c>
      <c r="D82" s="1">
        <v>0.0</v>
      </c>
      <c r="E82" s="1">
        <v>0.0</v>
      </c>
      <c r="F82" s="1">
        <v>0.0</v>
      </c>
    </row>
    <row r="83">
      <c r="A83" s="1" t="s">
        <v>131</v>
      </c>
      <c r="B83" s="1">
        <v>509.0</v>
      </c>
      <c r="C83" s="1">
        <v>1.0</v>
      </c>
      <c r="D83" s="1">
        <v>1.0</v>
      </c>
      <c r="E83" s="1">
        <v>0.0</v>
      </c>
      <c r="F83" s="1">
        <v>0.0</v>
      </c>
    </row>
    <row r="84">
      <c r="A84" s="1" t="s">
        <v>128</v>
      </c>
      <c r="B84" s="1">
        <v>54.0</v>
      </c>
      <c r="C84" s="1">
        <v>0.0</v>
      </c>
      <c r="D84" s="1">
        <v>0.0</v>
      </c>
      <c r="E84" s="1">
        <v>0.0</v>
      </c>
      <c r="F84" s="1">
        <v>0.0</v>
      </c>
    </row>
    <row r="85">
      <c r="A85" s="1" t="s">
        <v>127</v>
      </c>
      <c r="B85" s="1">
        <v>530.0</v>
      </c>
      <c r="C85" s="1">
        <v>2.0</v>
      </c>
      <c r="D85" s="1">
        <v>1.0</v>
      </c>
      <c r="E85" s="1">
        <v>0.0</v>
      </c>
      <c r="F85" s="1">
        <v>0.0</v>
      </c>
    </row>
    <row r="86">
      <c r="A86" s="1" t="s">
        <v>125</v>
      </c>
      <c r="B86" s="1">
        <v>4590.0</v>
      </c>
      <c r="C86" s="1">
        <v>124.0</v>
      </c>
      <c r="D86" s="1">
        <v>73.0</v>
      </c>
      <c r="E86" s="1">
        <v>15.0</v>
      </c>
      <c r="F86" s="1">
        <v>2.0</v>
      </c>
    </row>
    <row r="87">
      <c r="A87" s="1" t="s">
        <v>130</v>
      </c>
      <c r="B87" s="1">
        <v>157.0</v>
      </c>
      <c r="C87" s="1">
        <v>1.0</v>
      </c>
      <c r="D87" s="1">
        <v>0.0</v>
      </c>
      <c r="E87" s="1">
        <v>0.0</v>
      </c>
      <c r="F87" s="1">
        <v>0.0</v>
      </c>
    </row>
    <row r="88">
      <c r="A88" s="1" t="s">
        <v>124</v>
      </c>
      <c r="B88" s="1">
        <v>521.0</v>
      </c>
      <c r="C88" s="1">
        <v>14.0</v>
      </c>
      <c r="D88" s="1">
        <v>0.0</v>
      </c>
      <c r="E88" s="1">
        <v>1.0</v>
      </c>
      <c r="F88" s="1">
        <v>0.0</v>
      </c>
    </row>
    <row r="89">
      <c r="A89" s="1" t="s">
        <v>141</v>
      </c>
      <c r="B89" s="1">
        <v>3304.0</v>
      </c>
      <c r="C89" s="1">
        <v>453.0</v>
      </c>
      <c r="D89" s="1">
        <v>75.0</v>
      </c>
      <c r="E89" s="1">
        <v>10.0</v>
      </c>
      <c r="F89" s="1">
        <v>2.0</v>
      </c>
    </row>
    <row r="90">
      <c r="A90" s="1" t="s">
        <v>133</v>
      </c>
      <c r="B90" s="1">
        <v>11004.0</v>
      </c>
      <c r="C90" s="1">
        <v>5653.0</v>
      </c>
      <c r="D90" s="1">
        <v>1001.0</v>
      </c>
      <c r="E90" s="1">
        <v>61.0</v>
      </c>
      <c r="F90" s="1">
        <v>8.0</v>
      </c>
    </row>
    <row r="91">
      <c r="A91" s="1" t="s">
        <v>135</v>
      </c>
      <c r="B91" s="1">
        <v>33004.0</v>
      </c>
      <c r="C91" s="1">
        <v>56741.0</v>
      </c>
      <c r="D91" s="1">
        <v>10409.0</v>
      </c>
      <c r="E91" s="1">
        <v>263.0</v>
      </c>
      <c r="F91" s="1">
        <v>28.0</v>
      </c>
    </row>
    <row r="92">
      <c r="A92" s="1" t="s">
        <v>138</v>
      </c>
      <c r="B92" s="1">
        <v>21992.0</v>
      </c>
      <c r="C92" s="1">
        <v>776.0</v>
      </c>
      <c r="D92" s="1">
        <v>1125.0</v>
      </c>
      <c r="E92" s="1">
        <v>78.0</v>
      </c>
      <c r="F92" s="1">
        <v>9.0</v>
      </c>
    </row>
    <row r="93">
      <c r="A93" s="1" t="s">
        <v>136</v>
      </c>
      <c r="B93" s="1">
        <v>629042.0</v>
      </c>
      <c r="C93" s="1" t="s">
        <v>28</v>
      </c>
      <c r="D93" s="1" t="s">
        <v>28</v>
      </c>
      <c r="E93" s="1">
        <v>5872.0</v>
      </c>
      <c r="F93" s="1">
        <v>421.0</v>
      </c>
    </row>
    <row r="94">
      <c r="A94" s="1" t="s">
        <v>140</v>
      </c>
      <c r="B94" s="1">
        <v>50300.0</v>
      </c>
      <c r="C94" s="1">
        <v>13266.0</v>
      </c>
      <c r="D94" s="1">
        <v>9300.0</v>
      </c>
      <c r="E94" s="1">
        <v>478.0</v>
      </c>
      <c r="F94" s="1">
        <v>41.0</v>
      </c>
    </row>
    <row r="95">
      <c r="A95" s="1" t="s">
        <v>139</v>
      </c>
      <c r="B95" s="1">
        <v>1561.0</v>
      </c>
      <c r="C95" s="1">
        <v>122.0</v>
      </c>
      <c r="D95" s="1">
        <v>1.0</v>
      </c>
      <c r="E95" s="1">
        <v>4.0</v>
      </c>
      <c r="F95" s="1">
        <v>1.0</v>
      </c>
    </row>
    <row r="96">
      <c r="A96" s="1" t="s">
        <v>134</v>
      </c>
      <c r="B96" s="1">
        <v>5201.0</v>
      </c>
      <c r="C96" s="1">
        <v>1505.0</v>
      </c>
      <c r="D96" s="1">
        <v>5.0</v>
      </c>
      <c r="E96" s="1">
        <v>22.0</v>
      </c>
      <c r="F96" s="1">
        <v>4.0</v>
      </c>
    </row>
    <row r="97">
      <c r="A97" s="1" t="s">
        <v>137</v>
      </c>
      <c r="B97" s="1">
        <v>15601.0</v>
      </c>
      <c r="C97" s="1">
        <v>14196.0</v>
      </c>
      <c r="D97" s="1">
        <v>18.0</v>
      </c>
      <c r="E97" s="1">
        <v>104.0</v>
      </c>
      <c r="F97" s="1">
        <v>13.0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44</v>
      </c>
      <c r="B2" s="1">
        <v>2000.0</v>
      </c>
      <c r="C2" s="1">
        <v>199.0</v>
      </c>
      <c r="D2" s="1">
        <v>1.0</v>
      </c>
      <c r="E2" s="1">
        <v>5.0</v>
      </c>
      <c r="F2" s="1">
        <v>1.0</v>
      </c>
    </row>
    <row r="3">
      <c r="A3" s="1" t="s">
        <v>61</v>
      </c>
      <c r="B3" s="1">
        <v>21.0</v>
      </c>
      <c r="C3" s="1">
        <v>0.0</v>
      </c>
      <c r="D3" s="1">
        <v>0.0</v>
      </c>
      <c r="E3" s="1">
        <v>0.0</v>
      </c>
      <c r="F3" s="1">
        <v>0.0</v>
      </c>
    </row>
    <row r="4">
      <c r="A4" s="1" t="s">
        <v>71</v>
      </c>
      <c r="B4" s="1">
        <v>20.0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50</v>
      </c>
      <c r="B5" s="1">
        <v>201.0</v>
      </c>
      <c r="C5" s="1">
        <v>2.0</v>
      </c>
      <c r="D5" s="1">
        <v>0.0</v>
      </c>
      <c r="E5" s="1">
        <v>0.0</v>
      </c>
      <c r="F5" s="1">
        <v>0.0</v>
      </c>
    </row>
    <row r="6">
      <c r="A6" s="1" t="s">
        <v>3006</v>
      </c>
      <c r="B6" s="1">
        <v>40.0</v>
      </c>
      <c r="C6" s="1">
        <v>0.0</v>
      </c>
      <c r="D6" s="1">
        <v>0.0</v>
      </c>
      <c r="E6" s="1">
        <v>0.0</v>
      </c>
      <c r="F6" s="1">
        <v>0.0</v>
      </c>
    </row>
    <row r="7">
      <c r="A7" s="1" t="s">
        <v>3021</v>
      </c>
      <c r="B7" s="1">
        <v>41.0</v>
      </c>
      <c r="C7" s="1">
        <v>0.0</v>
      </c>
      <c r="D7" s="1">
        <v>0.0</v>
      </c>
      <c r="E7" s="1">
        <v>0.0</v>
      </c>
      <c r="F7" s="1">
        <v>0.0</v>
      </c>
    </row>
    <row r="8">
      <c r="A8" s="1" t="s">
        <v>43</v>
      </c>
      <c r="B8" s="1">
        <v>20.0</v>
      </c>
      <c r="C8" s="1">
        <v>0.0</v>
      </c>
      <c r="D8" s="1">
        <v>0.0</v>
      </c>
      <c r="E8" s="1">
        <v>0.0</v>
      </c>
      <c r="F8" s="1">
        <v>0.0</v>
      </c>
    </row>
    <row r="9">
      <c r="A9" s="1" t="s">
        <v>14</v>
      </c>
      <c r="B9" s="1">
        <v>201.0</v>
      </c>
      <c r="C9" s="1">
        <v>2.0</v>
      </c>
      <c r="D9" s="1">
        <v>0.0</v>
      </c>
      <c r="E9" s="1">
        <v>0.0</v>
      </c>
      <c r="F9" s="1">
        <v>0.0</v>
      </c>
    </row>
    <row r="10">
      <c r="A10" s="1" t="s">
        <v>3022</v>
      </c>
      <c r="B10" s="1">
        <v>41.0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57</v>
      </c>
      <c r="B11" s="1">
        <v>201.0</v>
      </c>
      <c r="C11" s="1">
        <v>2.0</v>
      </c>
      <c r="D11" s="1">
        <v>1.0</v>
      </c>
      <c r="E11" s="1">
        <v>0.0</v>
      </c>
      <c r="F11" s="1">
        <v>0.0</v>
      </c>
    </row>
    <row r="12">
      <c r="A12" s="1" t="s">
        <v>3023</v>
      </c>
      <c r="B12" s="1">
        <v>40.0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1" t="s">
        <v>27</v>
      </c>
      <c r="B13" s="1">
        <v>20000.0</v>
      </c>
      <c r="C13" s="1">
        <v>22142.0</v>
      </c>
      <c r="D13" s="1">
        <v>15261.0</v>
      </c>
      <c r="E13" s="1">
        <v>16.0</v>
      </c>
      <c r="F13" s="1">
        <v>91.0</v>
      </c>
    </row>
    <row r="14">
      <c r="A14" s="1" t="s">
        <v>17</v>
      </c>
      <c r="B14" s="1">
        <v>6.0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1" t="s">
        <v>55</v>
      </c>
      <c r="B15" s="1">
        <v>2001.0</v>
      </c>
      <c r="C15" s="1">
        <v>193.0</v>
      </c>
      <c r="D15" s="1">
        <v>2.0</v>
      </c>
      <c r="E15" s="1">
        <v>6.0</v>
      </c>
      <c r="F15" s="1">
        <v>1.0</v>
      </c>
    </row>
    <row r="16">
      <c r="A16" s="1" t="s">
        <v>51</v>
      </c>
      <c r="B16" s="1">
        <v>20000.0</v>
      </c>
      <c r="C16" s="1">
        <v>22119.0</v>
      </c>
      <c r="D16" s="1">
        <v>16.0</v>
      </c>
      <c r="E16" s="1">
        <v>136.0</v>
      </c>
      <c r="F16" s="1">
        <v>11.0</v>
      </c>
    </row>
    <row r="17">
      <c r="A17" s="1" t="s">
        <v>2993</v>
      </c>
      <c r="B17" s="1">
        <v>41.0</v>
      </c>
      <c r="C17" s="1">
        <v>0.0</v>
      </c>
      <c r="D17" s="1">
        <v>0.0</v>
      </c>
      <c r="E17" s="1">
        <v>0.0</v>
      </c>
      <c r="F17" s="1">
        <v>0.0</v>
      </c>
    </row>
    <row r="18">
      <c r="A18" s="1" t="s">
        <v>3007</v>
      </c>
      <c r="B18" s="1">
        <v>41.0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49</v>
      </c>
      <c r="B19" s="1">
        <v>20.0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15</v>
      </c>
      <c r="B20" s="1">
        <v>2000.0</v>
      </c>
      <c r="C20" s="1">
        <v>198.0</v>
      </c>
      <c r="D20" s="1">
        <v>2.0</v>
      </c>
      <c r="E20" s="1">
        <v>6.0</v>
      </c>
      <c r="F20" s="1">
        <v>1.0</v>
      </c>
    </row>
    <row r="21">
      <c r="A21" s="1" t="s">
        <v>60</v>
      </c>
      <c r="B21" s="1">
        <v>2000.0</v>
      </c>
      <c r="C21" s="1">
        <v>198.0</v>
      </c>
      <c r="D21" s="1">
        <v>147.0</v>
      </c>
      <c r="E21" s="1">
        <v>2.0</v>
      </c>
      <c r="F21" s="1">
        <v>7.0</v>
      </c>
    </row>
    <row r="22">
      <c r="A22" s="1" t="s">
        <v>19</v>
      </c>
      <c r="B22" s="1">
        <v>21.0</v>
      </c>
      <c r="C22" s="1">
        <v>0.0</v>
      </c>
      <c r="D22" s="1">
        <v>0.0</v>
      </c>
      <c r="E22" s="1">
        <v>0.0</v>
      </c>
      <c r="F22" s="1">
        <v>0.0</v>
      </c>
    </row>
    <row r="23">
      <c r="A23" s="1" t="s">
        <v>35</v>
      </c>
      <c r="B23" s="1">
        <v>20000.0</v>
      </c>
      <c r="C23" s="1">
        <v>22344.0</v>
      </c>
      <c r="D23" s="1">
        <v>16308.0</v>
      </c>
      <c r="E23" s="1">
        <v>32.0</v>
      </c>
      <c r="F23" s="1">
        <v>97.0</v>
      </c>
    </row>
    <row r="24">
      <c r="A24" s="1" t="s">
        <v>54</v>
      </c>
      <c r="B24" s="1">
        <v>200.0</v>
      </c>
      <c r="C24" s="1">
        <v>2.0</v>
      </c>
      <c r="D24" s="1">
        <v>1.0</v>
      </c>
      <c r="E24" s="1">
        <v>0.0</v>
      </c>
      <c r="F24" s="1">
        <v>0.0</v>
      </c>
    </row>
    <row r="25">
      <c r="A25" s="1" t="s">
        <v>30</v>
      </c>
      <c r="B25" s="1">
        <v>7.0</v>
      </c>
      <c r="C25" s="1">
        <v>0.0</v>
      </c>
      <c r="D25" s="1">
        <v>0.0</v>
      </c>
      <c r="E25" s="1">
        <v>0.0</v>
      </c>
      <c r="F25" s="1">
        <v>0.0</v>
      </c>
    </row>
    <row r="26">
      <c r="A26" s="1" t="s">
        <v>65</v>
      </c>
      <c r="B26" s="1">
        <v>2001.0</v>
      </c>
      <c r="C26" s="1">
        <v>198.0</v>
      </c>
      <c r="D26" s="1">
        <v>2.0</v>
      </c>
      <c r="E26" s="1">
        <v>6.0</v>
      </c>
      <c r="F26" s="1">
        <v>1.0</v>
      </c>
    </row>
    <row r="27">
      <c r="A27" s="1" t="s">
        <v>70</v>
      </c>
      <c r="B27" s="1">
        <v>20001.0</v>
      </c>
      <c r="C27" s="1">
        <v>22333.0</v>
      </c>
      <c r="D27" s="1">
        <v>27.0</v>
      </c>
      <c r="E27" s="1">
        <v>148.0</v>
      </c>
      <c r="F27" s="1">
        <v>10.0</v>
      </c>
    </row>
    <row r="28">
      <c r="A28" s="1" t="s">
        <v>67</v>
      </c>
      <c r="B28" s="1">
        <v>21.0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1" t="s">
        <v>22</v>
      </c>
      <c r="B29" s="1">
        <v>200.0</v>
      </c>
      <c r="C29" s="1">
        <v>2.0</v>
      </c>
      <c r="D29" s="1">
        <v>0.0</v>
      </c>
      <c r="E29" s="1">
        <v>0.0</v>
      </c>
      <c r="F29" s="1">
        <v>0.0</v>
      </c>
    </row>
    <row r="30">
      <c r="A30" s="1" t="s">
        <v>37</v>
      </c>
      <c r="B30" s="1">
        <v>21.0</v>
      </c>
      <c r="C30" s="1">
        <v>0.0</v>
      </c>
      <c r="D30" s="1">
        <v>0.0</v>
      </c>
      <c r="E30" s="1">
        <v>0.0</v>
      </c>
      <c r="F30" s="1">
        <v>0.0</v>
      </c>
    </row>
    <row r="31">
      <c r="A31" s="1" t="s">
        <v>34</v>
      </c>
      <c r="B31" s="1">
        <v>201.0</v>
      </c>
      <c r="C31" s="1">
        <v>2.0</v>
      </c>
      <c r="D31" s="1">
        <v>1.0</v>
      </c>
      <c r="E31" s="1">
        <v>0.0</v>
      </c>
      <c r="F31" s="1">
        <v>0.0</v>
      </c>
    </row>
    <row r="32">
      <c r="A32" s="1" t="s">
        <v>74</v>
      </c>
      <c r="B32" s="1">
        <v>20000.0</v>
      </c>
      <c r="C32" s="1">
        <v>22248.0</v>
      </c>
      <c r="D32" s="1">
        <v>28.0</v>
      </c>
      <c r="E32" s="1">
        <v>150.0</v>
      </c>
      <c r="F32" s="1">
        <v>23.0</v>
      </c>
    </row>
    <row r="33">
      <c r="A33" s="1" t="s">
        <v>69</v>
      </c>
      <c r="B33" s="1">
        <v>6.0</v>
      </c>
      <c r="C33" s="1">
        <v>0.0</v>
      </c>
      <c r="D33" s="1">
        <v>0.0</v>
      </c>
      <c r="E33" s="1">
        <v>0.0</v>
      </c>
      <c r="F33" s="1">
        <v>0.0</v>
      </c>
    </row>
    <row r="34">
      <c r="A34" s="1" t="s">
        <v>76</v>
      </c>
      <c r="B34" s="1">
        <v>2001.0</v>
      </c>
      <c r="C34" s="1">
        <v>202.0</v>
      </c>
      <c r="D34" s="1">
        <v>152.0</v>
      </c>
      <c r="E34" s="1">
        <v>2.0</v>
      </c>
      <c r="F34" s="1">
        <v>6.0</v>
      </c>
    </row>
    <row r="35">
      <c r="A35" s="1" t="s">
        <v>38</v>
      </c>
      <c r="B35" s="1">
        <v>20001.0</v>
      </c>
      <c r="C35" s="1">
        <v>22296.0</v>
      </c>
      <c r="D35" s="1">
        <v>23023.0</v>
      </c>
      <c r="E35" s="1">
        <v>49.0</v>
      </c>
      <c r="F35" s="1">
        <v>142.0</v>
      </c>
    </row>
    <row r="36">
      <c r="A36" s="1" t="s">
        <v>31</v>
      </c>
      <c r="B36" s="1">
        <v>200.0</v>
      </c>
      <c r="C36" s="1">
        <v>3.0</v>
      </c>
      <c r="D36" s="1">
        <v>2.0</v>
      </c>
      <c r="E36" s="1">
        <v>0.0</v>
      </c>
      <c r="F36" s="1">
        <v>0.0</v>
      </c>
    </row>
    <row r="37">
      <c r="A37" s="1" t="s">
        <v>13</v>
      </c>
      <c r="B37" s="1">
        <v>7.0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1" t="s">
        <v>52</v>
      </c>
      <c r="B38" s="1">
        <v>200.0</v>
      </c>
      <c r="C38" s="1">
        <v>3.0</v>
      </c>
      <c r="D38" s="1">
        <v>0.0</v>
      </c>
      <c r="E38" s="1">
        <v>0.0</v>
      </c>
      <c r="F38" s="1">
        <v>0.0</v>
      </c>
    </row>
    <row r="39">
      <c r="A39" s="1" t="s">
        <v>39</v>
      </c>
      <c r="B39" s="1">
        <v>7.0</v>
      </c>
      <c r="C39" s="1">
        <v>0.0</v>
      </c>
      <c r="D39" s="1">
        <v>0.0</v>
      </c>
      <c r="E39" s="1">
        <v>0.0</v>
      </c>
      <c r="F39" s="1">
        <v>0.0</v>
      </c>
    </row>
    <row r="40">
      <c r="A40" s="1" t="s">
        <v>3020</v>
      </c>
      <c r="B40" s="1">
        <v>40.0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 t="s">
        <v>42</v>
      </c>
      <c r="B41" s="1">
        <v>2000.0</v>
      </c>
      <c r="C41" s="1">
        <v>307.0</v>
      </c>
      <c r="D41" s="1">
        <v>228.0</v>
      </c>
      <c r="E41" s="1">
        <v>2.0</v>
      </c>
      <c r="F41" s="1">
        <v>10.0</v>
      </c>
    </row>
    <row r="42">
      <c r="A42" s="1" t="s">
        <v>20</v>
      </c>
      <c r="B42" s="1">
        <v>2001.0</v>
      </c>
      <c r="C42" s="1">
        <v>307.0</v>
      </c>
      <c r="D42" s="1">
        <v>228.0</v>
      </c>
      <c r="E42" s="1">
        <v>3.0</v>
      </c>
      <c r="F42" s="1">
        <v>11.0</v>
      </c>
    </row>
    <row r="43">
      <c r="A43" s="1" t="s">
        <v>24</v>
      </c>
      <c r="B43" s="1">
        <v>20.0</v>
      </c>
      <c r="C43" s="1">
        <v>0.0</v>
      </c>
      <c r="D43" s="1">
        <v>0.0</v>
      </c>
      <c r="E43" s="1">
        <v>0.0</v>
      </c>
      <c r="F43" s="1">
        <v>0.0</v>
      </c>
    </row>
    <row r="44">
      <c r="A44" s="1" t="s">
        <v>72</v>
      </c>
      <c r="B44" s="1">
        <v>7.0</v>
      </c>
      <c r="C44" s="1">
        <v>0.0</v>
      </c>
      <c r="D44" s="1">
        <v>0.0</v>
      </c>
      <c r="E44" s="1">
        <v>0.0</v>
      </c>
      <c r="F44" s="1">
        <v>0.0</v>
      </c>
    </row>
    <row r="45">
      <c r="A45" s="1" t="s">
        <v>3024</v>
      </c>
      <c r="B45" s="1">
        <v>40.0</v>
      </c>
      <c r="C45" s="1">
        <v>0.0</v>
      </c>
      <c r="D45" s="1">
        <v>0.0</v>
      </c>
      <c r="E45" s="1">
        <v>0.0</v>
      </c>
      <c r="F45" s="1">
        <v>0.0</v>
      </c>
    </row>
    <row r="46">
      <c r="A46" s="1" t="s">
        <v>66</v>
      </c>
      <c r="B46" s="1">
        <v>6.0</v>
      </c>
      <c r="C46" s="1">
        <v>0.0</v>
      </c>
      <c r="D46" s="1">
        <v>0.0</v>
      </c>
      <c r="E46" s="1">
        <v>0.0</v>
      </c>
      <c r="F46" s="1">
        <v>0.0</v>
      </c>
    </row>
    <row r="47">
      <c r="A47" s="1" t="s">
        <v>47</v>
      </c>
      <c r="B47" s="1">
        <v>20001.0</v>
      </c>
      <c r="C47" s="1">
        <v>34680.0</v>
      </c>
      <c r="D47" s="1">
        <v>36.0</v>
      </c>
      <c r="E47" s="1">
        <v>222.0</v>
      </c>
      <c r="F47" s="1">
        <v>28.0</v>
      </c>
    </row>
    <row r="48">
      <c r="A48" s="1" t="s">
        <v>58</v>
      </c>
      <c r="B48" s="1">
        <v>6.0</v>
      </c>
      <c r="C48" s="1">
        <v>0.0</v>
      </c>
      <c r="D48" s="1">
        <v>0.0</v>
      </c>
      <c r="E48" s="1">
        <v>0.0</v>
      </c>
      <c r="F48" s="1">
        <v>0.0</v>
      </c>
    </row>
    <row r="49">
      <c r="A49" s="1" t="s">
        <v>32</v>
      </c>
      <c r="B49" s="1">
        <v>20001.0</v>
      </c>
      <c r="C49" s="1">
        <v>34921.0</v>
      </c>
      <c r="D49" s="1">
        <v>25517.0</v>
      </c>
      <c r="E49" s="1">
        <v>38.0</v>
      </c>
      <c r="F49" s="1">
        <v>152.0</v>
      </c>
    </row>
    <row r="50">
      <c r="A50" s="1" t="s">
        <v>98</v>
      </c>
      <c r="B50" s="1">
        <v>12.0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 t="s">
        <v>80</v>
      </c>
      <c r="B51" s="1">
        <v>14.0</v>
      </c>
      <c r="C51" s="1">
        <v>0.0</v>
      </c>
      <c r="D51" s="1">
        <v>0.0</v>
      </c>
      <c r="E51" s="1">
        <v>0.0</v>
      </c>
      <c r="F51" s="1">
        <v>0.0</v>
      </c>
    </row>
    <row r="52">
      <c r="A52" s="1" t="s">
        <v>79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</row>
    <row r="53">
      <c r="A53" s="1" t="s">
        <v>88</v>
      </c>
      <c r="B53" s="1">
        <v>3.0</v>
      </c>
      <c r="C53" s="1">
        <v>0.0</v>
      </c>
      <c r="D53" s="1">
        <v>0.0</v>
      </c>
      <c r="E53" s="1">
        <v>0.0</v>
      </c>
      <c r="F53" s="1">
        <v>0.0</v>
      </c>
    </row>
    <row r="54">
      <c r="A54" s="1" t="s">
        <v>96</v>
      </c>
      <c r="B54" s="1">
        <v>7.0</v>
      </c>
      <c r="C54" s="1">
        <v>0.0</v>
      </c>
      <c r="D54" s="1">
        <v>0.0</v>
      </c>
      <c r="E54" s="1">
        <v>0.0</v>
      </c>
      <c r="F54" s="1">
        <v>0.0</v>
      </c>
    </row>
    <row r="55">
      <c r="A55" s="1" t="s">
        <v>95</v>
      </c>
      <c r="B55" s="1">
        <v>3.0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1" t="s">
        <v>82</v>
      </c>
      <c r="B56" s="1">
        <v>10.0</v>
      </c>
      <c r="C56" s="1">
        <v>0.0</v>
      </c>
      <c r="D56" s="1">
        <v>0.0</v>
      </c>
      <c r="E56" s="1">
        <v>0.0</v>
      </c>
      <c r="F56" s="1">
        <v>0.0</v>
      </c>
    </row>
    <row r="57">
      <c r="A57" s="1" t="s">
        <v>97</v>
      </c>
      <c r="B57" s="1">
        <v>7.0</v>
      </c>
      <c r="C57" s="1">
        <v>0.0</v>
      </c>
      <c r="D57" s="1">
        <v>0.0</v>
      </c>
      <c r="E57" s="1">
        <v>0.0</v>
      </c>
      <c r="F57" s="1">
        <v>0.0</v>
      </c>
    </row>
    <row r="58">
      <c r="A58" s="1" t="s">
        <v>86</v>
      </c>
      <c r="B58" s="1">
        <v>6.0</v>
      </c>
      <c r="C58" s="1">
        <v>0.0</v>
      </c>
      <c r="D58" s="1">
        <v>0.0</v>
      </c>
      <c r="E58" s="1">
        <v>0.0</v>
      </c>
      <c r="F58" s="1">
        <v>0.0</v>
      </c>
    </row>
    <row r="59">
      <c r="A59" s="1" t="s">
        <v>94</v>
      </c>
      <c r="B59" s="1">
        <v>5.0</v>
      </c>
      <c r="C59" s="1">
        <v>0.0</v>
      </c>
      <c r="D59" s="1">
        <v>0.0</v>
      </c>
      <c r="E59" s="1">
        <v>0.0</v>
      </c>
      <c r="F59" s="1">
        <v>0.0</v>
      </c>
    </row>
    <row r="60">
      <c r="A60" s="1" t="s">
        <v>85</v>
      </c>
      <c r="B60" s="1">
        <v>29.0</v>
      </c>
      <c r="C60" s="1">
        <v>0.0</v>
      </c>
      <c r="D60" s="1">
        <v>0.0</v>
      </c>
      <c r="E60" s="1">
        <v>0.0</v>
      </c>
      <c r="F60" s="1">
        <v>0.0</v>
      </c>
    </row>
    <row r="61">
      <c r="A61" s="1" t="s">
        <v>93</v>
      </c>
      <c r="B61" s="1">
        <v>9.0</v>
      </c>
      <c r="C61" s="1">
        <v>0.0</v>
      </c>
      <c r="D61" s="1">
        <v>0.0</v>
      </c>
      <c r="E61" s="1">
        <v>0.0</v>
      </c>
      <c r="F61" s="1">
        <v>0.0</v>
      </c>
    </row>
    <row r="62">
      <c r="A62" s="1" t="s">
        <v>89</v>
      </c>
      <c r="B62" s="1">
        <v>7.0</v>
      </c>
      <c r="C62" s="1">
        <v>0.0</v>
      </c>
      <c r="D62" s="1">
        <v>0.0</v>
      </c>
      <c r="E62" s="1">
        <v>0.0</v>
      </c>
      <c r="F62" s="1">
        <v>0.0</v>
      </c>
    </row>
    <row r="63">
      <c r="A63" s="1" t="s">
        <v>91</v>
      </c>
      <c r="B63" s="1">
        <v>9.0</v>
      </c>
      <c r="C63" s="1">
        <v>0.0</v>
      </c>
      <c r="D63" s="1">
        <v>0.0</v>
      </c>
      <c r="E63" s="1">
        <v>0.0</v>
      </c>
      <c r="F63" s="1">
        <v>0.0</v>
      </c>
    </row>
    <row r="64">
      <c r="A64" s="1" t="s">
        <v>90</v>
      </c>
      <c r="B64" s="1">
        <v>9.0</v>
      </c>
      <c r="C64" s="1">
        <v>0.0</v>
      </c>
      <c r="D64" s="1">
        <v>0.0</v>
      </c>
      <c r="E64" s="1">
        <v>0.0</v>
      </c>
      <c r="F64" s="1">
        <v>0.0</v>
      </c>
    </row>
    <row r="65">
      <c r="A65" s="1" t="s">
        <v>92</v>
      </c>
      <c r="B65" s="1">
        <v>7.0</v>
      </c>
      <c r="C65" s="1">
        <v>0.0</v>
      </c>
      <c r="D65" s="1">
        <v>0.0</v>
      </c>
      <c r="E65" s="1">
        <v>0.0</v>
      </c>
      <c r="F65" s="1">
        <v>0.0</v>
      </c>
    </row>
    <row r="66">
      <c r="A66" s="1" t="s">
        <v>84</v>
      </c>
      <c r="B66" s="1">
        <v>3.0</v>
      </c>
      <c r="C66" s="1">
        <v>0.0</v>
      </c>
      <c r="D66" s="1">
        <v>0.0</v>
      </c>
      <c r="E66" s="1">
        <v>0.0</v>
      </c>
      <c r="F66" s="1">
        <v>0.0</v>
      </c>
    </row>
    <row r="67">
      <c r="A67" s="1" t="s">
        <v>78</v>
      </c>
      <c r="B67" s="1">
        <v>10.0</v>
      </c>
      <c r="C67" s="1">
        <v>0.0</v>
      </c>
      <c r="D67" s="1">
        <v>0.0</v>
      </c>
      <c r="E67" s="1">
        <v>0.0</v>
      </c>
      <c r="F67" s="1">
        <v>0.0</v>
      </c>
    </row>
    <row r="68">
      <c r="A68" s="1" t="s">
        <v>87</v>
      </c>
      <c r="B68" s="1">
        <v>3.0</v>
      </c>
      <c r="C68" s="1">
        <v>0.0</v>
      </c>
      <c r="D68" s="1">
        <v>0.0</v>
      </c>
      <c r="E68" s="1">
        <v>0.0</v>
      </c>
      <c r="F68" s="1">
        <v>0.0</v>
      </c>
    </row>
    <row r="69">
      <c r="A69" s="1" t="s">
        <v>83</v>
      </c>
      <c r="B69" s="1">
        <v>3.0</v>
      </c>
      <c r="C69" s="1">
        <v>0.0</v>
      </c>
      <c r="D69" s="1">
        <v>0.0</v>
      </c>
      <c r="E69" s="1">
        <v>0.0</v>
      </c>
      <c r="F69" s="1">
        <v>0.0</v>
      </c>
    </row>
    <row r="70">
      <c r="A70" s="1" t="s">
        <v>81</v>
      </c>
      <c r="B70" s="1">
        <v>4.0</v>
      </c>
      <c r="C70" s="1">
        <v>0.0</v>
      </c>
      <c r="D70" s="1">
        <v>0.0</v>
      </c>
      <c r="E70" s="1">
        <v>0.0</v>
      </c>
      <c r="F70" s="1">
        <v>0.0</v>
      </c>
    </row>
    <row r="71">
      <c r="A71" s="1" t="s">
        <v>99</v>
      </c>
      <c r="B71" s="1">
        <v>1792.0</v>
      </c>
      <c r="C71" s="1">
        <v>17.0</v>
      </c>
      <c r="D71" s="1">
        <v>1.0</v>
      </c>
      <c r="E71" s="1">
        <v>1.0</v>
      </c>
      <c r="F71" s="1">
        <v>1.0</v>
      </c>
    </row>
    <row r="72">
      <c r="A72" s="1" t="s">
        <v>100</v>
      </c>
      <c r="B72" s="1">
        <v>55.0</v>
      </c>
      <c r="C72" s="1">
        <v>0.0</v>
      </c>
      <c r="D72" s="1">
        <v>0.0</v>
      </c>
      <c r="E72" s="1">
        <v>0.0</v>
      </c>
      <c r="F72" s="1">
        <v>0.0</v>
      </c>
    </row>
    <row r="73">
      <c r="A73" s="1" t="s">
        <v>101</v>
      </c>
      <c r="B73" s="1">
        <v>21.0</v>
      </c>
      <c r="C73" s="1">
        <v>0.0</v>
      </c>
      <c r="D73" s="1">
        <v>0.0</v>
      </c>
      <c r="E73" s="1">
        <v>0.0</v>
      </c>
      <c r="F73" s="1">
        <v>0.0</v>
      </c>
    </row>
    <row r="74">
      <c r="A74" s="1" t="s">
        <v>102</v>
      </c>
      <c r="B74" s="1">
        <v>55.0</v>
      </c>
      <c r="C74" s="1">
        <v>0.0</v>
      </c>
      <c r="D74" s="1">
        <v>0.0</v>
      </c>
      <c r="E74" s="1">
        <v>0.0</v>
      </c>
      <c r="F74" s="1">
        <v>0.0</v>
      </c>
    </row>
    <row r="75">
      <c r="A75" s="1" t="s">
        <v>109</v>
      </c>
      <c r="B75" s="1">
        <v>1306.0</v>
      </c>
      <c r="C75" s="1">
        <v>59.0</v>
      </c>
      <c r="D75" s="1">
        <v>2.0</v>
      </c>
      <c r="E75" s="1">
        <v>3.0</v>
      </c>
      <c r="F75" s="1">
        <v>1.0</v>
      </c>
    </row>
    <row r="76">
      <c r="A76" s="1" t="s">
        <v>110</v>
      </c>
      <c r="B76" s="1">
        <v>304.0</v>
      </c>
      <c r="C76" s="1">
        <v>4.0</v>
      </c>
      <c r="D76" s="1">
        <v>0.0</v>
      </c>
      <c r="E76" s="1">
        <v>0.0</v>
      </c>
      <c r="F76" s="1">
        <v>0.0</v>
      </c>
    </row>
    <row r="77">
      <c r="A77" s="1" t="s">
        <v>105</v>
      </c>
      <c r="B77" s="1">
        <v>304.0</v>
      </c>
      <c r="C77" s="1">
        <v>4.0</v>
      </c>
      <c r="D77" s="1">
        <v>0.0</v>
      </c>
      <c r="E77" s="1">
        <v>0.0</v>
      </c>
      <c r="F77" s="1">
        <v>0.0</v>
      </c>
    </row>
    <row r="78">
      <c r="A78" s="1" t="s">
        <v>108</v>
      </c>
      <c r="B78" s="1">
        <v>209.0</v>
      </c>
      <c r="C78" s="1">
        <v>2.0</v>
      </c>
      <c r="D78" s="1">
        <v>0.0</v>
      </c>
      <c r="E78" s="1">
        <v>0.0</v>
      </c>
      <c r="F78" s="1">
        <v>0.0</v>
      </c>
    </row>
    <row r="79">
      <c r="A79" s="1" t="s">
        <v>107</v>
      </c>
      <c r="B79" s="1">
        <v>209.0</v>
      </c>
      <c r="C79" s="1">
        <v>2.0</v>
      </c>
      <c r="D79" s="1">
        <v>0.0</v>
      </c>
      <c r="E79" s="1">
        <v>0.0</v>
      </c>
      <c r="F79" s="1">
        <v>0.0</v>
      </c>
    </row>
    <row r="80">
      <c r="A80" s="1" t="s">
        <v>113</v>
      </c>
      <c r="B80" s="1">
        <v>1765.0</v>
      </c>
      <c r="C80" s="1">
        <v>87.0</v>
      </c>
      <c r="D80" s="1">
        <v>3.0</v>
      </c>
      <c r="E80" s="1">
        <v>4.0</v>
      </c>
      <c r="F80" s="1">
        <v>1.0</v>
      </c>
    </row>
    <row r="81">
      <c r="A81" s="1" t="s">
        <v>106</v>
      </c>
      <c r="B81" s="1">
        <v>1733.0</v>
      </c>
      <c r="C81" s="1">
        <v>84.0</v>
      </c>
      <c r="D81" s="1">
        <v>2.0</v>
      </c>
      <c r="E81" s="1">
        <v>4.0</v>
      </c>
      <c r="F81" s="1">
        <v>1.0</v>
      </c>
    </row>
    <row r="82">
      <c r="A82" s="1" t="s">
        <v>104</v>
      </c>
      <c r="B82" s="1">
        <v>1733.0</v>
      </c>
      <c r="C82" s="1">
        <v>77.0</v>
      </c>
      <c r="D82" s="1">
        <v>3.0</v>
      </c>
      <c r="E82" s="1">
        <v>5.0</v>
      </c>
      <c r="F82" s="1">
        <v>1.0</v>
      </c>
    </row>
    <row r="83">
      <c r="A83" s="1" t="s">
        <v>103</v>
      </c>
      <c r="B83" s="1">
        <v>304.0</v>
      </c>
      <c r="C83" s="1">
        <v>4.0</v>
      </c>
      <c r="D83" s="1">
        <v>0.0</v>
      </c>
      <c r="E83" s="1">
        <v>0.0</v>
      </c>
      <c r="F83" s="1">
        <v>0.0</v>
      </c>
    </row>
    <row r="84">
      <c r="A84" s="1" t="s">
        <v>111</v>
      </c>
      <c r="B84" s="1">
        <v>147.0</v>
      </c>
      <c r="C84" s="1">
        <v>1.0</v>
      </c>
      <c r="D84" s="1">
        <v>0.0</v>
      </c>
      <c r="E84" s="1">
        <v>0.0</v>
      </c>
      <c r="F84" s="1">
        <v>0.0</v>
      </c>
    </row>
    <row r="85">
      <c r="A85" s="1" t="s">
        <v>112</v>
      </c>
      <c r="B85" s="1">
        <v>150.0</v>
      </c>
      <c r="C85" s="1">
        <v>1.0</v>
      </c>
      <c r="D85" s="1">
        <v>0.0</v>
      </c>
      <c r="E85" s="1">
        <v>0.0</v>
      </c>
      <c r="F85" s="1">
        <v>0.0</v>
      </c>
    </row>
    <row r="86">
      <c r="A86" s="1" t="s">
        <v>121</v>
      </c>
      <c r="B86" s="1">
        <v>20.0</v>
      </c>
      <c r="C86" s="1">
        <v>0.0</v>
      </c>
      <c r="D86" s="1">
        <v>0.0</v>
      </c>
      <c r="E86" s="1">
        <v>0.0</v>
      </c>
      <c r="F86" s="1">
        <v>0.0</v>
      </c>
    </row>
    <row r="87">
      <c r="A87" s="1" t="s">
        <v>114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</row>
    <row r="88">
      <c r="A88" s="1" t="s">
        <v>119</v>
      </c>
      <c r="B88" s="1">
        <v>16.0</v>
      </c>
      <c r="C88" s="1">
        <v>0.0</v>
      </c>
      <c r="D88" s="1">
        <v>0.0</v>
      </c>
      <c r="E88" s="1">
        <v>0.0</v>
      </c>
      <c r="F88" s="1">
        <v>0.0</v>
      </c>
    </row>
    <row r="89">
      <c r="A89" s="1" t="s">
        <v>120</v>
      </c>
      <c r="B89" s="1">
        <v>1.0</v>
      </c>
      <c r="C89" s="1">
        <v>0.0</v>
      </c>
      <c r="D89" s="1">
        <v>0.0</v>
      </c>
      <c r="E89" s="1">
        <v>0.0</v>
      </c>
      <c r="F89" s="1">
        <v>0.0</v>
      </c>
    </row>
    <row r="90">
      <c r="A90" s="1" t="s">
        <v>115</v>
      </c>
      <c r="B90" s="1">
        <v>13.0</v>
      </c>
      <c r="C90" s="1">
        <v>0.0</v>
      </c>
      <c r="D90" s="1">
        <v>0.0</v>
      </c>
      <c r="E90" s="1">
        <v>0.0</v>
      </c>
      <c r="F90" s="1">
        <v>0.0</v>
      </c>
    </row>
    <row r="91">
      <c r="A91" s="1" t="s">
        <v>117</v>
      </c>
      <c r="B91" s="1">
        <v>68.0</v>
      </c>
      <c r="C91" s="1">
        <v>0.0</v>
      </c>
      <c r="D91" s="1">
        <v>0.0</v>
      </c>
      <c r="E91" s="1">
        <v>0.0</v>
      </c>
      <c r="F91" s="1">
        <v>0.0</v>
      </c>
    </row>
    <row r="92">
      <c r="A92" s="1" t="s">
        <v>116</v>
      </c>
      <c r="B92" s="1">
        <v>7.0</v>
      </c>
      <c r="C92" s="1">
        <v>0.0</v>
      </c>
      <c r="D92" s="1">
        <v>0.0</v>
      </c>
      <c r="E92" s="1">
        <v>0.0</v>
      </c>
      <c r="F92" s="1">
        <v>0.0</v>
      </c>
    </row>
    <row r="93">
      <c r="A93" s="1" t="s">
        <v>122</v>
      </c>
      <c r="B93" s="1">
        <v>19.0</v>
      </c>
      <c r="C93" s="1">
        <v>0.0</v>
      </c>
      <c r="D93" s="1">
        <v>0.0</v>
      </c>
      <c r="E93" s="1">
        <v>0.0</v>
      </c>
      <c r="F93" s="1">
        <v>0.0</v>
      </c>
    </row>
    <row r="94">
      <c r="A94" s="1" t="s">
        <v>118</v>
      </c>
      <c r="B94" s="1">
        <v>42.0</v>
      </c>
      <c r="C94" s="1">
        <v>0.0</v>
      </c>
      <c r="D94" s="1">
        <v>0.0</v>
      </c>
      <c r="E94" s="1">
        <v>0.0</v>
      </c>
      <c r="F94" s="1">
        <v>0.0</v>
      </c>
    </row>
    <row r="95">
      <c r="A95" s="1" t="s">
        <v>126</v>
      </c>
      <c r="B95" s="1">
        <v>1105.0</v>
      </c>
      <c r="C95" s="1">
        <v>62.0</v>
      </c>
      <c r="D95" s="1">
        <v>1.0</v>
      </c>
      <c r="E95" s="1">
        <v>3.0</v>
      </c>
      <c r="F95" s="1">
        <v>1.0</v>
      </c>
    </row>
    <row r="96">
      <c r="A96" s="1" t="s">
        <v>129</v>
      </c>
      <c r="B96" s="1">
        <v>335.0</v>
      </c>
      <c r="C96" s="1">
        <v>6.0</v>
      </c>
      <c r="D96" s="1">
        <v>0.0</v>
      </c>
      <c r="E96" s="1">
        <v>0.0</v>
      </c>
      <c r="F96" s="1">
        <v>0.0</v>
      </c>
    </row>
    <row r="97">
      <c r="A97" s="1" t="s">
        <v>124</v>
      </c>
      <c r="B97" s="1">
        <v>522.0</v>
      </c>
      <c r="C97" s="1">
        <v>21.0</v>
      </c>
      <c r="D97" s="1">
        <v>0.0</v>
      </c>
      <c r="E97" s="1">
        <v>1.0</v>
      </c>
      <c r="F97" s="1">
        <v>0.0</v>
      </c>
    </row>
    <row r="98">
      <c r="A98" s="1" t="s">
        <v>127</v>
      </c>
      <c r="B98" s="1">
        <v>531.0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 t="s">
        <v>132</v>
      </c>
      <c r="B99" s="1">
        <v>17.0</v>
      </c>
      <c r="C99" s="1">
        <v>0.0</v>
      </c>
      <c r="D99" s="1">
        <v>0.0</v>
      </c>
      <c r="E99" s="1">
        <v>0.0</v>
      </c>
      <c r="F99" s="1">
        <v>0.0</v>
      </c>
    </row>
    <row r="100">
      <c r="A100" s="1" t="s">
        <v>131</v>
      </c>
      <c r="B100" s="1">
        <v>510.0</v>
      </c>
      <c r="C100" s="1">
        <v>0.0</v>
      </c>
      <c r="D100" s="1">
        <v>0.0</v>
      </c>
      <c r="E100" s="1">
        <v>0.0</v>
      </c>
      <c r="F100" s="1">
        <v>0.0</v>
      </c>
    </row>
    <row r="101">
      <c r="A101" s="1" t="s">
        <v>128</v>
      </c>
      <c r="B101" s="1">
        <v>55.0</v>
      </c>
      <c r="C101" s="1">
        <v>0.0</v>
      </c>
      <c r="D101" s="1">
        <v>0.0</v>
      </c>
      <c r="E101" s="1">
        <v>0.0</v>
      </c>
      <c r="F101" s="1">
        <v>0.0</v>
      </c>
    </row>
    <row r="102">
      <c r="A102" s="1" t="s">
        <v>123</v>
      </c>
      <c r="B102" s="1">
        <v>115.0</v>
      </c>
      <c r="C102" s="1">
        <v>0.0</v>
      </c>
      <c r="D102" s="1">
        <v>0.0</v>
      </c>
      <c r="E102" s="1">
        <v>0.0</v>
      </c>
      <c r="F102" s="1">
        <v>0.0</v>
      </c>
    </row>
    <row r="103">
      <c r="A103" s="1" t="s">
        <v>125</v>
      </c>
      <c r="B103" s="1">
        <v>4591.0</v>
      </c>
      <c r="C103" s="1">
        <v>7.0</v>
      </c>
      <c r="D103" s="1">
        <v>2.0</v>
      </c>
      <c r="E103" s="1">
        <v>3.0</v>
      </c>
      <c r="F103" s="1">
        <v>2.0</v>
      </c>
    </row>
    <row r="104">
      <c r="A104" s="1" t="s">
        <v>130</v>
      </c>
      <c r="B104" s="1">
        <v>158.0</v>
      </c>
      <c r="C104" s="1">
        <v>2.0</v>
      </c>
      <c r="D104" s="1">
        <v>0.0</v>
      </c>
      <c r="E104" s="1">
        <v>0.0</v>
      </c>
      <c r="F104" s="1">
        <v>0.0</v>
      </c>
    </row>
    <row r="105">
      <c r="A105" s="1" t="s">
        <v>137</v>
      </c>
      <c r="B105" s="1">
        <v>15602.0</v>
      </c>
      <c r="C105" s="1">
        <v>20651.0</v>
      </c>
      <c r="D105" s="1">
        <v>24.0</v>
      </c>
      <c r="E105" s="1">
        <v>156.0</v>
      </c>
      <c r="F105" s="1">
        <v>21.0</v>
      </c>
    </row>
    <row r="106">
      <c r="A106" s="1" t="s">
        <v>140</v>
      </c>
      <c r="B106" s="1">
        <v>50301.0</v>
      </c>
      <c r="C106" s="1">
        <v>99.0</v>
      </c>
      <c r="D106" s="1">
        <v>24.0</v>
      </c>
      <c r="E106" s="1">
        <v>29.0</v>
      </c>
      <c r="F106" s="1">
        <v>26.0</v>
      </c>
    </row>
    <row r="107">
      <c r="A107" s="1" t="s">
        <v>136</v>
      </c>
      <c r="B107" s="1">
        <v>629043.0</v>
      </c>
      <c r="C107" s="1">
        <v>717.0</v>
      </c>
      <c r="D107" s="1">
        <v>231.0</v>
      </c>
      <c r="E107" s="1">
        <v>230.0</v>
      </c>
      <c r="F107" s="1">
        <v>233.0</v>
      </c>
    </row>
    <row r="108">
      <c r="A108" s="1" t="s">
        <v>135</v>
      </c>
      <c r="B108" s="1">
        <v>33005.0</v>
      </c>
      <c r="C108" s="1">
        <v>66068.0</v>
      </c>
      <c r="D108" s="1">
        <v>47.0</v>
      </c>
      <c r="E108" s="1">
        <v>293.0</v>
      </c>
      <c r="F108" s="1">
        <v>42.0</v>
      </c>
    </row>
    <row r="109">
      <c r="A109" s="1" t="s">
        <v>138</v>
      </c>
      <c r="B109" s="1">
        <v>21993.0</v>
      </c>
      <c r="C109" s="1">
        <v>19.0</v>
      </c>
      <c r="D109" s="1">
        <v>7.0</v>
      </c>
      <c r="E109" s="1">
        <v>8.0</v>
      </c>
      <c r="F109" s="1">
        <v>7.0</v>
      </c>
    </row>
    <row r="110">
      <c r="A110" s="1" t="s">
        <v>134</v>
      </c>
      <c r="B110" s="1">
        <v>5202.0</v>
      </c>
      <c r="C110" s="1">
        <v>2144.0</v>
      </c>
      <c r="D110" s="1">
        <v>7.0</v>
      </c>
      <c r="E110" s="1">
        <v>32.0</v>
      </c>
      <c r="F110" s="1">
        <v>5.0</v>
      </c>
    </row>
    <row r="111">
      <c r="A111" s="1" t="s">
        <v>139</v>
      </c>
      <c r="B111" s="1">
        <v>1562.0</v>
      </c>
      <c r="C111" s="1">
        <v>185.0</v>
      </c>
      <c r="D111" s="1">
        <v>2.0</v>
      </c>
      <c r="E111" s="1">
        <v>6.0</v>
      </c>
      <c r="F111" s="1">
        <v>1.0</v>
      </c>
    </row>
    <row r="112">
      <c r="A112" s="1" t="s">
        <v>133</v>
      </c>
      <c r="B112" s="1">
        <v>11005.0</v>
      </c>
      <c r="C112" s="1">
        <v>6701.0</v>
      </c>
      <c r="D112" s="1">
        <v>14.0</v>
      </c>
      <c r="E112" s="1">
        <v>65.0</v>
      </c>
      <c r="F112" s="1">
        <v>11.0</v>
      </c>
    </row>
    <row r="113">
      <c r="A113" s="1" t="s">
        <v>141</v>
      </c>
      <c r="B113" s="1">
        <v>3305.0</v>
      </c>
      <c r="C113" s="1">
        <v>551.0</v>
      </c>
      <c r="D113" s="1">
        <v>4.0</v>
      </c>
      <c r="E113" s="1">
        <v>12.0</v>
      </c>
      <c r="F113" s="1">
        <v>3.0</v>
      </c>
    </row>
    <row r="114">
      <c r="A114" s="1" t="s">
        <v>1028</v>
      </c>
      <c r="B114" s="1">
        <v>20.0</v>
      </c>
      <c r="C114" s="1">
        <v>0.0</v>
      </c>
      <c r="D114" s="1">
        <v>0.0</v>
      </c>
      <c r="E114" s="1">
        <v>0.0</v>
      </c>
      <c r="F114" s="1">
        <v>0.0</v>
      </c>
    </row>
    <row r="115">
      <c r="A115" s="1" t="s">
        <v>1030</v>
      </c>
      <c r="B115" s="1">
        <v>10.0</v>
      </c>
      <c r="C115" s="1">
        <v>0.0</v>
      </c>
      <c r="D115" s="1">
        <v>0.0</v>
      </c>
      <c r="E115" s="1">
        <v>0.0</v>
      </c>
      <c r="F115" s="1">
        <v>0.0</v>
      </c>
    </row>
    <row r="116">
      <c r="A116" s="1" t="s">
        <v>1491</v>
      </c>
      <c r="B116" s="1">
        <v>12.0</v>
      </c>
      <c r="C116" s="1">
        <v>0.0</v>
      </c>
      <c r="D116" s="1">
        <v>0.0</v>
      </c>
      <c r="E116" s="1">
        <v>0.0</v>
      </c>
      <c r="F116" s="1">
        <v>0.0</v>
      </c>
    </row>
    <row r="117">
      <c r="A117" s="1" t="s">
        <v>903</v>
      </c>
      <c r="B117" s="1">
        <v>9.0</v>
      </c>
      <c r="C117" s="1">
        <v>0.0</v>
      </c>
      <c r="D117" s="1">
        <v>0.0</v>
      </c>
      <c r="E117" s="1">
        <v>0.0</v>
      </c>
      <c r="F117" s="1">
        <v>0.0</v>
      </c>
    </row>
    <row r="118">
      <c r="A118" s="1" t="s">
        <v>270</v>
      </c>
      <c r="B118" s="1">
        <v>22.0</v>
      </c>
      <c r="C118" s="1">
        <v>0.0</v>
      </c>
      <c r="D118" s="1">
        <v>0.0</v>
      </c>
      <c r="E118" s="1">
        <v>0.0</v>
      </c>
      <c r="F118" s="1">
        <v>0.0</v>
      </c>
    </row>
    <row r="119">
      <c r="A119" s="1" t="s">
        <v>1254</v>
      </c>
      <c r="B119" s="1">
        <v>138.0</v>
      </c>
      <c r="C119" s="1">
        <v>0.0</v>
      </c>
      <c r="D119" s="1">
        <v>0.0</v>
      </c>
      <c r="E119" s="1">
        <v>0.0</v>
      </c>
      <c r="F119" s="1">
        <v>0.0</v>
      </c>
    </row>
    <row r="120">
      <c r="A120" s="1" t="s">
        <v>1111</v>
      </c>
      <c r="B120" s="1">
        <v>21.0</v>
      </c>
      <c r="C120" s="1">
        <v>0.0</v>
      </c>
      <c r="D120" s="1">
        <v>0.0</v>
      </c>
      <c r="E120" s="1">
        <v>0.0</v>
      </c>
      <c r="F120" s="1">
        <v>0.0</v>
      </c>
    </row>
    <row r="121">
      <c r="A121" s="1" t="s">
        <v>581</v>
      </c>
      <c r="B121" s="1">
        <v>56.0</v>
      </c>
      <c r="C121" s="1">
        <v>0.0</v>
      </c>
      <c r="D121" s="1">
        <v>0.0</v>
      </c>
      <c r="E121" s="1">
        <v>0.0</v>
      </c>
      <c r="F121" s="1">
        <v>0.0</v>
      </c>
    </row>
    <row r="122">
      <c r="A122" s="1" t="s">
        <v>1403</v>
      </c>
      <c r="B122" s="1">
        <v>22.0</v>
      </c>
      <c r="C122" s="1">
        <v>0.0</v>
      </c>
      <c r="D122" s="1">
        <v>0.0</v>
      </c>
      <c r="E122" s="1">
        <v>0.0</v>
      </c>
      <c r="F122" s="1">
        <v>0.0</v>
      </c>
    </row>
    <row r="123">
      <c r="A123" s="1" t="s">
        <v>1600</v>
      </c>
      <c r="B123" s="1">
        <v>52.0</v>
      </c>
      <c r="C123" s="1">
        <v>0.0</v>
      </c>
      <c r="D123" s="1">
        <v>0.0</v>
      </c>
      <c r="E123" s="1">
        <v>0.0</v>
      </c>
      <c r="F123" s="1">
        <v>0.0</v>
      </c>
    </row>
    <row r="124">
      <c r="A124" s="1" t="s">
        <v>1917</v>
      </c>
      <c r="B124" s="1">
        <v>34.0</v>
      </c>
      <c r="C124" s="1">
        <v>0.0</v>
      </c>
      <c r="D124" s="1">
        <v>0.0</v>
      </c>
      <c r="E124" s="1">
        <v>0.0</v>
      </c>
      <c r="F124" s="1">
        <v>0.0</v>
      </c>
    </row>
    <row r="125">
      <c r="A125" s="1" t="s">
        <v>1956</v>
      </c>
      <c r="B125" s="1">
        <v>95.0</v>
      </c>
      <c r="C125" s="1">
        <v>0.0</v>
      </c>
      <c r="D125" s="1">
        <v>0.0</v>
      </c>
      <c r="E125" s="1">
        <v>0.0</v>
      </c>
      <c r="F125" s="1">
        <v>0.0</v>
      </c>
    </row>
    <row r="126">
      <c r="A126" s="1" t="s">
        <v>1321</v>
      </c>
      <c r="B126" s="1">
        <v>60.0</v>
      </c>
      <c r="C126" s="1">
        <v>0.0</v>
      </c>
      <c r="D126" s="1">
        <v>0.0</v>
      </c>
      <c r="E126" s="1">
        <v>0.0</v>
      </c>
      <c r="F126" s="1">
        <v>0.0</v>
      </c>
    </row>
    <row r="127">
      <c r="A127" s="1" t="s">
        <v>1504</v>
      </c>
      <c r="B127" s="1">
        <v>83.0</v>
      </c>
      <c r="C127" s="1">
        <v>0.0</v>
      </c>
      <c r="D127" s="1">
        <v>0.0</v>
      </c>
      <c r="E127" s="1">
        <v>0.0</v>
      </c>
      <c r="F127" s="1">
        <v>0.0</v>
      </c>
    </row>
    <row r="128">
      <c r="A128" s="1" t="s">
        <v>419</v>
      </c>
      <c r="B128" s="1">
        <v>12.0</v>
      </c>
      <c r="C128" s="1">
        <v>0.0</v>
      </c>
      <c r="D128" s="1">
        <v>0.0</v>
      </c>
      <c r="E128" s="1">
        <v>0.0</v>
      </c>
      <c r="F128" s="1">
        <v>0.0</v>
      </c>
    </row>
    <row r="129">
      <c r="A129" s="1" t="s">
        <v>339</v>
      </c>
      <c r="B129" s="1">
        <v>40.0</v>
      </c>
      <c r="C129" s="1">
        <v>0.0</v>
      </c>
      <c r="D129" s="1">
        <v>0.0</v>
      </c>
      <c r="E129" s="1">
        <v>0.0</v>
      </c>
      <c r="F129" s="1">
        <v>0.0</v>
      </c>
    </row>
    <row r="130">
      <c r="A130" s="1" t="s">
        <v>448</v>
      </c>
      <c r="B130" s="1">
        <v>668.0</v>
      </c>
      <c r="C130" s="1">
        <v>5.0</v>
      </c>
      <c r="D130" s="1">
        <v>0.0</v>
      </c>
      <c r="E130" s="1">
        <v>1.0</v>
      </c>
      <c r="F130" s="1">
        <v>0.0</v>
      </c>
    </row>
    <row r="131">
      <c r="A131" s="1" t="s">
        <v>224</v>
      </c>
      <c r="B131" s="1">
        <v>46.0</v>
      </c>
      <c r="C131" s="1">
        <v>0.0</v>
      </c>
      <c r="D131" s="1">
        <v>0.0</v>
      </c>
      <c r="E131" s="1">
        <v>0.0</v>
      </c>
      <c r="F131" s="1">
        <v>0.0</v>
      </c>
    </row>
    <row r="132">
      <c r="A132" s="1" t="s">
        <v>413</v>
      </c>
      <c r="B132" s="1">
        <v>35.0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1" t="s">
        <v>420</v>
      </c>
      <c r="B133" s="1">
        <v>32.0</v>
      </c>
      <c r="C133" s="1">
        <v>0.0</v>
      </c>
      <c r="D133" s="1">
        <v>0.0</v>
      </c>
      <c r="E133" s="1">
        <v>0.0</v>
      </c>
      <c r="F133" s="1">
        <v>0.0</v>
      </c>
    </row>
    <row r="134">
      <c r="A134" s="1" t="s">
        <v>858</v>
      </c>
      <c r="B134" s="1">
        <v>65.0</v>
      </c>
      <c r="C134" s="1">
        <v>0.0</v>
      </c>
      <c r="D134" s="1">
        <v>0.0</v>
      </c>
      <c r="E134" s="1">
        <v>0.0</v>
      </c>
      <c r="F134" s="1">
        <v>0.0</v>
      </c>
    </row>
    <row r="135">
      <c r="A135" s="1" t="s">
        <v>1998</v>
      </c>
      <c r="B135" s="1">
        <v>120.0</v>
      </c>
      <c r="C135" s="1">
        <v>0.0</v>
      </c>
      <c r="D135" s="1">
        <v>0.0</v>
      </c>
      <c r="E135" s="1">
        <v>0.0</v>
      </c>
      <c r="F135" s="1">
        <v>0.0</v>
      </c>
    </row>
    <row r="136">
      <c r="A136" s="1" t="s">
        <v>427</v>
      </c>
      <c r="B136" s="1">
        <v>8.0</v>
      </c>
      <c r="C136" s="1">
        <v>0.0</v>
      </c>
      <c r="D136" s="1">
        <v>0.0</v>
      </c>
      <c r="E136" s="1">
        <v>0.0</v>
      </c>
      <c r="F136" s="1">
        <v>0.0</v>
      </c>
    </row>
    <row r="137">
      <c r="A137" s="1" t="s">
        <v>286</v>
      </c>
      <c r="B137" s="1">
        <v>33.0</v>
      </c>
      <c r="C137" s="1">
        <v>0.0</v>
      </c>
      <c r="D137" s="1">
        <v>0.0</v>
      </c>
      <c r="E137" s="1">
        <v>0.0</v>
      </c>
      <c r="F137" s="1">
        <v>0.0</v>
      </c>
    </row>
    <row r="138">
      <c r="A138" s="1" t="s">
        <v>263</v>
      </c>
      <c r="B138" s="1">
        <v>39.0</v>
      </c>
      <c r="C138" s="1">
        <v>0.0</v>
      </c>
      <c r="D138" s="1">
        <v>0.0</v>
      </c>
      <c r="E138" s="1">
        <v>0.0</v>
      </c>
      <c r="F138" s="1">
        <v>0.0</v>
      </c>
    </row>
    <row r="139">
      <c r="A139" s="1" t="s">
        <v>197</v>
      </c>
      <c r="B139" s="1">
        <v>15.0</v>
      </c>
      <c r="C139" s="1">
        <v>0.0</v>
      </c>
      <c r="D139" s="1">
        <v>0.0</v>
      </c>
      <c r="E139" s="1">
        <v>0.0</v>
      </c>
      <c r="F139" s="1">
        <v>0.0</v>
      </c>
    </row>
    <row r="140">
      <c r="A140" s="1" t="s">
        <v>650</v>
      </c>
      <c r="B140" s="1">
        <v>33.0</v>
      </c>
      <c r="C140" s="1">
        <v>0.0</v>
      </c>
      <c r="D140" s="1">
        <v>0.0</v>
      </c>
      <c r="E140" s="1">
        <v>0.0</v>
      </c>
      <c r="F140" s="1">
        <v>0.0</v>
      </c>
    </row>
    <row r="141">
      <c r="A141" s="1" t="s">
        <v>1726</v>
      </c>
      <c r="B141" s="1">
        <v>72.0</v>
      </c>
      <c r="C141" s="1">
        <v>0.0</v>
      </c>
      <c r="D141" s="1">
        <v>0.0</v>
      </c>
      <c r="E141" s="1">
        <v>0.0</v>
      </c>
      <c r="F141" s="1">
        <v>0.0</v>
      </c>
    </row>
    <row r="142">
      <c r="A142" s="1" t="s">
        <v>1162</v>
      </c>
      <c r="B142" s="1">
        <v>22.0</v>
      </c>
      <c r="C142" s="1">
        <v>0.0</v>
      </c>
      <c r="D142" s="1">
        <v>0.0</v>
      </c>
      <c r="E142" s="1">
        <v>0.0</v>
      </c>
      <c r="F142" s="1">
        <v>0.0</v>
      </c>
    </row>
    <row r="143">
      <c r="A143" s="1" t="s">
        <v>1197</v>
      </c>
      <c r="B143" s="1">
        <v>197.0</v>
      </c>
      <c r="C143" s="1">
        <v>1.0</v>
      </c>
      <c r="D143" s="1">
        <v>0.0</v>
      </c>
      <c r="E143" s="1">
        <v>0.0</v>
      </c>
      <c r="F143" s="1">
        <v>0.0</v>
      </c>
    </row>
    <row r="144">
      <c r="A144" s="1" t="s">
        <v>609</v>
      </c>
      <c r="B144" s="1">
        <v>15.0</v>
      </c>
      <c r="C144" s="1">
        <v>0.0</v>
      </c>
      <c r="D144" s="1">
        <v>0.0</v>
      </c>
      <c r="E144" s="1">
        <v>0.0</v>
      </c>
      <c r="F144" s="1">
        <v>0.0</v>
      </c>
    </row>
    <row r="145">
      <c r="A145" s="1" t="s">
        <v>267</v>
      </c>
      <c r="B145" s="1">
        <v>125.0</v>
      </c>
      <c r="C145" s="1">
        <v>0.0</v>
      </c>
      <c r="D145" s="1">
        <v>0.0</v>
      </c>
      <c r="E145" s="1">
        <v>0.0</v>
      </c>
      <c r="F145" s="1">
        <v>0.0</v>
      </c>
    </row>
    <row r="146">
      <c r="A146" s="1" t="s">
        <v>193</v>
      </c>
      <c r="B146" s="1">
        <v>22.0</v>
      </c>
      <c r="C146" s="1">
        <v>0.0</v>
      </c>
      <c r="D146" s="1">
        <v>0.0</v>
      </c>
      <c r="E146" s="1">
        <v>0.0</v>
      </c>
      <c r="F146" s="1">
        <v>0.0</v>
      </c>
    </row>
    <row r="147">
      <c r="A147" s="1" t="s">
        <v>1119</v>
      </c>
      <c r="B147" s="1">
        <v>21.0</v>
      </c>
      <c r="C147" s="1">
        <v>0.0</v>
      </c>
      <c r="D147" s="1">
        <v>0.0</v>
      </c>
      <c r="E147" s="1">
        <v>0.0</v>
      </c>
      <c r="F147" s="1">
        <v>0.0</v>
      </c>
    </row>
    <row r="148">
      <c r="A148" s="1" t="s">
        <v>1238</v>
      </c>
      <c r="B148" s="1">
        <v>70.0</v>
      </c>
      <c r="C148" s="1">
        <v>0.0</v>
      </c>
      <c r="D148" s="1">
        <v>0.0</v>
      </c>
      <c r="E148" s="1">
        <v>0.0</v>
      </c>
      <c r="F148" s="1">
        <v>0.0</v>
      </c>
    </row>
    <row r="149">
      <c r="A149" s="1" t="s">
        <v>1570</v>
      </c>
      <c r="B149" s="1">
        <v>80.0</v>
      </c>
      <c r="C149" s="1">
        <v>0.0</v>
      </c>
      <c r="D149" s="1">
        <v>0.0</v>
      </c>
      <c r="E149" s="1">
        <v>0.0</v>
      </c>
      <c r="F149" s="1">
        <v>0.0</v>
      </c>
    </row>
    <row r="150">
      <c r="A150" s="1" t="s">
        <v>1256</v>
      </c>
      <c r="B150" s="1">
        <v>138.0</v>
      </c>
      <c r="C150" s="1">
        <v>1.0</v>
      </c>
      <c r="D150" s="1">
        <v>0.0</v>
      </c>
      <c r="E150" s="1">
        <v>0.0</v>
      </c>
      <c r="F150" s="1">
        <v>0.0</v>
      </c>
    </row>
    <row r="151">
      <c r="A151" s="1" t="s">
        <v>723</v>
      </c>
      <c r="B151" s="1">
        <v>21.0</v>
      </c>
      <c r="C151" s="1">
        <v>0.0</v>
      </c>
      <c r="D151" s="1">
        <v>0.0</v>
      </c>
      <c r="E151" s="1">
        <v>0.0</v>
      </c>
      <c r="F151" s="1">
        <v>0.0</v>
      </c>
    </row>
    <row r="152">
      <c r="A152" s="1" t="s">
        <v>478</v>
      </c>
      <c r="B152" s="1">
        <v>270.0</v>
      </c>
      <c r="C152" s="1">
        <v>0.0</v>
      </c>
      <c r="D152" s="1">
        <v>0.0</v>
      </c>
      <c r="E152" s="1">
        <v>0.0</v>
      </c>
      <c r="F152" s="1">
        <v>0.0</v>
      </c>
    </row>
    <row r="153">
      <c r="A153" s="1" t="s">
        <v>715</v>
      </c>
      <c r="B153" s="1">
        <v>16.0</v>
      </c>
      <c r="C153" s="1">
        <v>0.0</v>
      </c>
      <c r="D153" s="1">
        <v>0.0</v>
      </c>
      <c r="E153" s="1">
        <v>0.0</v>
      </c>
      <c r="F153" s="1">
        <v>0.0</v>
      </c>
    </row>
    <row r="154">
      <c r="A154" s="1" t="s">
        <v>1681</v>
      </c>
      <c r="B154" s="1">
        <v>99.0</v>
      </c>
      <c r="C154" s="1">
        <v>0.0</v>
      </c>
      <c r="D154" s="1">
        <v>0.0</v>
      </c>
      <c r="E154" s="1">
        <v>0.0</v>
      </c>
      <c r="F154" s="1">
        <v>0.0</v>
      </c>
    </row>
    <row r="155">
      <c r="A155" s="1" t="s">
        <v>2019</v>
      </c>
      <c r="B155" s="1">
        <v>54.0</v>
      </c>
      <c r="C155" s="1">
        <v>0.0</v>
      </c>
      <c r="D155" s="1">
        <v>0.0</v>
      </c>
      <c r="E155" s="1">
        <v>0.0</v>
      </c>
      <c r="F155" s="1">
        <v>0.0</v>
      </c>
    </row>
    <row r="156">
      <c r="A156" s="1" t="s">
        <v>513</v>
      </c>
      <c r="B156" s="1">
        <v>19.0</v>
      </c>
      <c r="C156" s="1">
        <v>0.0</v>
      </c>
      <c r="D156" s="1">
        <v>0.0</v>
      </c>
      <c r="E156" s="1">
        <v>0.0</v>
      </c>
      <c r="F156" s="1">
        <v>0.0</v>
      </c>
    </row>
    <row r="157">
      <c r="A157" s="1" t="s">
        <v>510</v>
      </c>
      <c r="B157" s="1">
        <v>5.0</v>
      </c>
      <c r="C157" s="1">
        <v>0.0</v>
      </c>
      <c r="D157" s="1">
        <v>0.0</v>
      </c>
      <c r="E157" s="1">
        <v>0.0</v>
      </c>
      <c r="F157" s="1">
        <v>0.0</v>
      </c>
    </row>
    <row r="158">
      <c r="A158" s="1" t="s">
        <v>818</v>
      </c>
      <c r="B158" s="1">
        <v>121.0</v>
      </c>
      <c r="C158" s="1">
        <v>0.0</v>
      </c>
      <c r="D158" s="1">
        <v>0.0</v>
      </c>
      <c r="E158" s="1">
        <v>0.0</v>
      </c>
      <c r="F158" s="1">
        <v>0.0</v>
      </c>
    </row>
    <row r="159">
      <c r="A159" s="1" t="s">
        <v>1294</v>
      </c>
      <c r="B159" s="1">
        <v>32.0</v>
      </c>
      <c r="C159" s="1">
        <v>0.0</v>
      </c>
      <c r="D159" s="1">
        <v>0.0</v>
      </c>
      <c r="E159" s="1">
        <v>0.0</v>
      </c>
      <c r="F159" s="1">
        <v>0.0</v>
      </c>
    </row>
    <row r="160">
      <c r="A160" s="1" t="s">
        <v>838</v>
      </c>
      <c r="B160" s="1">
        <v>115.0</v>
      </c>
      <c r="C160" s="1">
        <v>1.0</v>
      </c>
      <c r="D160" s="1">
        <v>0.0</v>
      </c>
      <c r="E160" s="1">
        <v>0.0</v>
      </c>
      <c r="F160" s="1">
        <v>0.0</v>
      </c>
    </row>
    <row r="161">
      <c r="A161" s="1" t="s">
        <v>647</v>
      </c>
      <c r="B161" s="1">
        <v>52.0</v>
      </c>
      <c r="C161" s="1">
        <v>0.0</v>
      </c>
      <c r="D161" s="1">
        <v>0.0</v>
      </c>
      <c r="E161" s="1">
        <v>0.0</v>
      </c>
      <c r="F161" s="1">
        <v>0.0</v>
      </c>
    </row>
    <row r="162">
      <c r="A162" s="1" t="s">
        <v>1873</v>
      </c>
      <c r="B162" s="1">
        <v>14.0</v>
      </c>
      <c r="C162" s="1">
        <v>0.0</v>
      </c>
      <c r="D162" s="1">
        <v>0.0</v>
      </c>
      <c r="E162" s="1">
        <v>0.0</v>
      </c>
      <c r="F162" s="1">
        <v>0.0</v>
      </c>
    </row>
    <row r="163">
      <c r="A163" s="1" t="s">
        <v>428</v>
      </c>
      <c r="B163" s="1">
        <v>351.0</v>
      </c>
      <c r="C163" s="1">
        <v>4.0</v>
      </c>
      <c r="D163" s="1">
        <v>0.0</v>
      </c>
      <c r="E163" s="1">
        <v>0.0</v>
      </c>
      <c r="F163" s="1">
        <v>0.0</v>
      </c>
    </row>
    <row r="164">
      <c r="A164" s="1" t="s">
        <v>1527</v>
      </c>
      <c r="B164" s="1">
        <v>47.0</v>
      </c>
      <c r="C164" s="1">
        <v>0.0</v>
      </c>
      <c r="D164" s="1">
        <v>0.0</v>
      </c>
      <c r="E164" s="1">
        <v>0.0</v>
      </c>
      <c r="F164" s="1">
        <v>0.0</v>
      </c>
    </row>
    <row r="165">
      <c r="A165" s="1" t="s">
        <v>953</v>
      </c>
      <c r="B165" s="1">
        <v>27.0</v>
      </c>
      <c r="C165" s="1">
        <v>0.0</v>
      </c>
      <c r="D165" s="1">
        <v>0.0</v>
      </c>
      <c r="E165" s="1">
        <v>0.0</v>
      </c>
      <c r="F165" s="1">
        <v>0.0</v>
      </c>
    </row>
    <row r="166">
      <c r="A166" s="1" t="s">
        <v>337</v>
      </c>
      <c r="B166" s="1">
        <v>180.0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 t="s">
        <v>1675</v>
      </c>
      <c r="B167" s="1">
        <v>83.0</v>
      </c>
      <c r="C167" s="1">
        <v>0.0</v>
      </c>
      <c r="D167" s="1">
        <v>0.0</v>
      </c>
      <c r="E167" s="1">
        <v>0.0</v>
      </c>
      <c r="F167" s="1">
        <v>0.0</v>
      </c>
    </row>
    <row r="168">
      <c r="A168" s="1" t="s">
        <v>463</v>
      </c>
      <c r="B168" s="1">
        <v>59.0</v>
      </c>
      <c r="C168" s="1">
        <v>0.0</v>
      </c>
      <c r="D168" s="1">
        <v>0.0</v>
      </c>
      <c r="E168" s="1">
        <v>0.0</v>
      </c>
      <c r="F168" s="1">
        <v>0.0</v>
      </c>
    </row>
    <row r="169">
      <c r="A169" s="1" t="s">
        <v>692</v>
      </c>
      <c r="B169" s="1">
        <v>58.0</v>
      </c>
      <c r="C169" s="1">
        <v>0.0</v>
      </c>
      <c r="D169" s="1">
        <v>0.0</v>
      </c>
      <c r="E169" s="1">
        <v>0.0</v>
      </c>
      <c r="F169" s="1">
        <v>0.0</v>
      </c>
    </row>
    <row r="170">
      <c r="A170" s="1" t="s">
        <v>408</v>
      </c>
      <c r="B170" s="1">
        <v>73.0</v>
      </c>
      <c r="C170" s="1">
        <v>0.0</v>
      </c>
      <c r="D170" s="1">
        <v>0.0</v>
      </c>
      <c r="E170" s="1">
        <v>0.0</v>
      </c>
      <c r="F170" s="1">
        <v>0.0</v>
      </c>
    </row>
    <row r="171">
      <c r="A171" s="1" t="s">
        <v>1585</v>
      </c>
      <c r="B171" s="1">
        <v>8.0</v>
      </c>
      <c r="C171" s="1">
        <v>0.0</v>
      </c>
      <c r="D171" s="1">
        <v>0.0</v>
      </c>
      <c r="E171" s="1">
        <v>0.0</v>
      </c>
      <c r="F171" s="1">
        <v>0.0</v>
      </c>
    </row>
    <row r="172">
      <c r="A172" s="1" t="s">
        <v>684</v>
      </c>
      <c r="B172" s="1">
        <v>10.0</v>
      </c>
      <c r="C172" s="1">
        <v>0.0</v>
      </c>
      <c r="D172" s="1">
        <v>0.0</v>
      </c>
      <c r="E172" s="1">
        <v>0.0</v>
      </c>
      <c r="F172" s="1">
        <v>0.0</v>
      </c>
    </row>
    <row r="173">
      <c r="A173" s="1" t="s">
        <v>1659</v>
      </c>
      <c r="B173" s="1">
        <v>44.0</v>
      </c>
      <c r="C173" s="1">
        <v>0.0</v>
      </c>
      <c r="D173" s="1">
        <v>0.0</v>
      </c>
      <c r="E173" s="1">
        <v>0.0</v>
      </c>
      <c r="F173" s="1">
        <v>0.0</v>
      </c>
    </row>
    <row r="174">
      <c r="A174" s="1" t="s">
        <v>1135</v>
      </c>
      <c r="B174" s="1">
        <v>46.0</v>
      </c>
      <c r="C174" s="1">
        <v>0.0</v>
      </c>
      <c r="D174" s="1">
        <v>0.0</v>
      </c>
      <c r="E174" s="1">
        <v>0.0</v>
      </c>
      <c r="F174" s="1">
        <v>0.0</v>
      </c>
    </row>
    <row r="175">
      <c r="A175" s="1" t="s">
        <v>1569</v>
      </c>
      <c r="B175" s="1">
        <v>44.0</v>
      </c>
      <c r="C175" s="1">
        <v>0.0</v>
      </c>
      <c r="D175" s="1">
        <v>0.0</v>
      </c>
      <c r="E175" s="1">
        <v>0.0</v>
      </c>
      <c r="F175" s="1">
        <v>0.0</v>
      </c>
    </row>
    <row r="176">
      <c r="A176" s="1" t="s">
        <v>1038</v>
      </c>
      <c r="B176" s="1">
        <v>11.0</v>
      </c>
      <c r="C176" s="1">
        <v>0.0</v>
      </c>
      <c r="D176" s="1">
        <v>0.0</v>
      </c>
      <c r="E176" s="1">
        <v>0.0</v>
      </c>
      <c r="F176" s="1">
        <v>0.0</v>
      </c>
    </row>
    <row r="177">
      <c r="A177" s="1" t="s">
        <v>990</v>
      </c>
      <c r="B177" s="1">
        <v>163.0</v>
      </c>
      <c r="C177" s="1">
        <v>1.0</v>
      </c>
      <c r="D177" s="1">
        <v>0.0</v>
      </c>
      <c r="E177" s="1">
        <v>0.0</v>
      </c>
      <c r="F177" s="1">
        <v>0.0</v>
      </c>
    </row>
    <row r="178">
      <c r="A178" s="1" t="s">
        <v>1633</v>
      </c>
      <c r="B178" s="1">
        <v>71.0</v>
      </c>
      <c r="C178" s="1">
        <v>0.0</v>
      </c>
      <c r="D178" s="1">
        <v>0.0</v>
      </c>
      <c r="E178" s="1">
        <v>0.0</v>
      </c>
      <c r="F178" s="1">
        <v>0.0</v>
      </c>
    </row>
    <row r="179">
      <c r="A179" s="1" t="s">
        <v>1639</v>
      </c>
      <c r="B179" s="1">
        <v>17.0</v>
      </c>
      <c r="C179" s="1">
        <v>0.0</v>
      </c>
      <c r="D179" s="1">
        <v>0.0</v>
      </c>
      <c r="E179" s="1">
        <v>0.0</v>
      </c>
      <c r="F179" s="1">
        <v>0.0</v>
      </c>
    </row>
    <row r="180">
      <c r="A180" s="1" t="s">
        <v>688</v>
      </c>
      <c r="B180" s="1">
        <v>14.0</v>
      </c>
      <c r="C180" s="1">
        <v>0.0</v>
      </c>
      <c r="D180" s="1">
        <v>0.0</v>
      </c>
      <c r="E180" s="1">
        <v>0.0</v>
      </c>
      <c r="F180" s="1">
        <v>0.0</v>
      </c>
    </row>
    <row r="181">
      <c r="A181" s="1" t="s">
        <v>972</v>
      </c>
      <c r="B181" s="1">
        <v>284.0</v>
      </c>
      <c r="C181" s="1">
        <v>1.0</v>
      </c>
      <c r="D181" s="1">
        <v>0.0</v>
      </c>
      <c r="E181" s="1">
        <v>0.0</v>
      </c>
      <c r="F181" s="1">
        <v>0.0</v>
      </c>
    </row>
    <row r="182">
      <c r="A182" s="1" t="s">
        <v>597</v>
      </c>
      <c r="B182" s="1">
        <v>38.0</v>
      </c>
      <c r="C182" s="1">
        <v>0.0</v>
      </c>
      <c r="D182" s="1">
        <v>0.0</v>
      </c>
      <c r="E182" s="1">
        <v>0.0</v>
      </c>
      <c r="F182" s="1">
        <v>0.0</v>
      </c>
    </row>
    <row r="183">
      <c r="A183" s="1" t="s">
        <v>2082</v>
      </c>
      <c r="B183" s="1">
        <v>147.0</v>
      </c>
      <c r="C183" s="1">
        <v>0.0</v>
      </c>
      <c r="D183" s="1">
        <v>0.0</v>
      </c>
      <c r="E183" s="1">
        <v>0.0</v>
      </c>
      <c r="F183" s="1">
        <v>0.0</v>
      </c>
    </row>
    <row r="184">
      <c r="A184" s="1" t="s">
        <v>1188</v>
      </c>
      <c r="B184" s="1">
        <v>339.0</v>
      </c>
      <c r="C184" s="1">
        <v>6.0</v>
      </c>
      <c r="D184" s="1">
        <v>0.0</v>
      </c>
      <c r="E184" s="1">
        <v>1.0</v>
      </c>
      <c r="F184" s="1">
        <v>0.0</v>
      </c>
    </row>
    <row r="185">
      <c r="A185" s="1" t="s">
        <v>1454</v>
      </c>
      <c r="B185" s="1">
        <v>13.0</v>
      </c>
      <c r="C185" s="1">
        <v>0.0</v>
      </c>
      <c r="D185" s="1">
        <v>0.0</v>
      </c>
      <c r="E185" s="1">
        <v>0.0</v>
      </c>
      <c r="F185" s="1">
        <v>0.0</v>
      </c>
    </row>
    <row r="186">
      <c r="A186" s="1" t="s">
        <v>1304</v>
      </c>
      <c r="B186" s="1">
        <v>66.0</v>
      </c>
      <c r="C186" s="1">
        <v>0.0</v>
      </c>
      <c r="D186" s="1">
        <v>0.0</v>
      </c>
      <c r="E186" s="1">
        <v>0.0</v>
      </c>
      <c r="F186" s="1">
        <v>0.0</v>
      </c>
    </row>
    <row r="187">
      <c r="A187" s="1" t="s">
        <v>1489</v>
      </c>
      <c r="B187" s="1">
        <v>26.0</v>
      </c>
      <c r="C187" s="1">
        <v>0.0</v>
      </c>
      <c r="D187" s="1">
        <v>0.0</v>
      </c>
      <c r="E187" s="1">
        <v>0.0</v>
      </c>
      <c r="F187" s="1">
        <v>0.0</v>
      </c>
    </row>
    <row r="188">
      <c r="A188" s="1" t="s">
        <v>1613</v>
      </c>
      <c r="B188" s="1">
        <v>32.0</v>
      </c>
      <c r="C188" s="1">
        <v>0.0</v>
      </c>
      <c r="D188" s="1">
        <v>0.0</v>
      </c>
      <c r="E188" s="1">
        <v>0.0</v>
      </c>
      <c r="F188" s="1">
        <v>0.0</v>
      </c>
    </row>
    <row r="189">
      <c r="A189" s="1" t="s">
        <v>297</v>
      </c>
      <c r="B189" s="1">
        <v>24.0</v>
      </c>
      <c r="C189" s="1">
        <v>0.0</v>
      </c>
      <c r="D189" s="1">
        <v>0.0</v>
      </c>
      <c r="E189" s="1">
        <v>0.0</v>
      </c>
      <c r="F189" s="1">
        <v>0.0</v>
      </c>
    </row>
    <row r="190">
      <c r="A190" s="1" t="s">
        <v>677</v>
      </c>
      <c r="B190" s="1">
        <v>11.0</v>
      </c>
      <c r="C190" s="1">
        <v>0.0</v>
      </c>
      <c r="D190" s="1">
        <v>0.0</v>
      </c>
      <c r="E190" s="1">
        <v>0.0</v>
      </c>
      <c r="F190" s="1">
        <v>0.0</v>
      </c>
    </row>
    <row r="191">
      <c r="A191" s="1" t="s">
        <v>1879</v>
      </c>
      <c r="B191" s="1">
        <v>69.0</v>
      </c>
      <c r="C191" s="1">
        <v>0.0</v>
      </c>
      <c r="D191" s="1">
        <v>0.0</v>
      </c>
      <c r="E191" s="1">
        <v>0.0</v>
      </c>
      <c r="F191" s="1">
        <v>0.0</v>
      </c>
    </row>
    <row r="192">
      <c r="A192" s="1" t="s">
        <v>362</v>
      </c>
      <c r="B192" s="1">
        <v>36.0</v>
      </c>
      <c r="C192" s="1">
        <v>0.0</v>
      </c>
      <c r="D192" s="1">
        <v>0.0</v>
      </c>
      <c r="E192" s="1">
        <v>0.0</v>
      </c>
      <c r="F192" s="1">
        <v>0.0</v>
      </c>
    </row>
    <row r="193">
      <c r="A193" s="1" t="s">
        <v>1206</v>
      </c>
      <c r="B193" s="1">
        <v>14.0</v>
      </c>
      <c r="C193" s="1">
        <v>0.0</v>
      </c>
      <c r="D193" s="1">
        <v>0.0</v>
      </c>
      <c r="E193" s="1">
        <v>0.0</v>
      </c>
      <c r="F193" s="1">
        <v>0.0</v>
      </c>
    </row>
    <row r="194">
      <c r="A194" s="1" t="s">
        <v>669</v>
      </c>
      <c r="B194" s="1">
        <v>24.0</v>
      </c>
      <c r="C194" s="1">
        <v>0.0</v>
      </c>
      <c r="D194" s="1">
        <v>0.0</v>
      </c>
      <c r="E194" s="1">
        <v>0.0</v>
      </c>
      <c r="F194" s="1">
        <v>0.0</v>
      </c>
    </row>
    <row r="195">
      <c r="A195" s="1" t="s">
        <v>714</v>
      </c>
      <c r="B195" s="1">
        <v>7.0</v>
      </c>
      <c r="C195" s="1">
        <v>0.0</v>
      </c>
      <c r="D195" s="1">
        <v>0.0</v>
      </c>
      <c r="E195" s="1">
        <v>0.0</v>
      </c>
      <c r="F195" s="1">
        <v>0.0</v>
      </c>
    </row>
    <row r="196">
      <c r="A196" s="1" t="s">
        <v>1648</v>
      </c>
      <c r="B196" s="1">
        <v>151.0</v>
      </c>
      <c r="C196" s="1">
        <v>0.0</v>
      </c>
      <c r="D196" s="1">
        <v>0.0</v>
      </c>
      <c r="E196" s="1">
        <v>0.0</v>
      </c>
      <c r="F196" s="1">
        <v>0.0</v>
      </c>
    </row>
    <row r="197">
      <c r="A197" s="1" t="s">
        <v>1822</v>
      </c>
      <c r="B197" s="1">
        <v>21.0</v>
      </c>
      <c r="C197" s="1">
        <v>0.0</v>
      </c>
      <c r="D197" s="1">
        <v>0.0</v>
      </c>
      <c r="E197" s="1">
        <v>0.0</v>
      </c>
      <c r="F197" s="1">
        <v>0.0</v>
      </c>
    </row>
    <row r="198">
      <c r="A198" s="1" t="s">
        <v>1642</v>
      </c>
      <c r="B198" s="1">
        <v>16.0</v>
      </c>
      <c r="C198" s="1">
        <v>0.0</v>
      </c>
      <c r="D198" s="1">
        <v>0.0</v>
      </c>
      <c r="E198" s="1">
        <v>0.0</v>
      </c>
      <c r="F198" s="1">
        <v>0.0</v>
      </c>
    </row>
    <row r="199">
      <c r="A199" s="1" t="s">
        <v>391</v>
      </c>
      <c r="B199" s="1">
        <v>27.0</v>
      </c>
      <c r="C199" s="1">
        <v>0.0</v>
      </c>
      <c r="D199" s="1">
        <v>0.0</v>
      </c>
      <c r="E199" s="1">
        <v>0.0</v>
      </c>
      <c r="F199" s="1">
        <v>0.0</v>
      </c>
    </row>
    <row r="200">
      <c r="A200" s="1" t="s">
        <v>1592</v>
      </c>
      <c r="B200" s="1">
        <v>21.0</v>
      </c>
      <c r="C200" s="1">
        <v>0.0</v>
      </c>
      <c r="D200" s="1">
        <v>0.0</v>
      </c>
      <c r="E200" s="1">
        <v>0.0</v>
      </c>
      <c r="F200" s="1">
        <v>0.0</v>
      </c>
    </row>
    <row r="201">
      <c r="A201" s="1" t="s">
        <v>400</v>
      </c>
      <c r="B201" s="1">
        <v>95.0</v>
      </c>
      <c r="C201" s="1">
        <v>0.0</v>
      </c>
      <c r="D201" s="1">
        <v>0.0</v>
      </c>
      <c r="E201" s="1">
        <v>0.0</v>
      </c>
      <c r="F201" s="1">
        <v>0.0</v>
      </c>
    </row>
    <row r="202">
      <c r="A202" s="1" t="s">
        <v>910</v>
      </c>
      <c r="B202" s="1">
        <v>22.0</v>
      </c>
      <c r="C202" s="1">
        <v>0.0</v>
      </c>
      <c r="D202" s="1">
        <v>0.0</v>
      </c>
      <c r="E202" s="1">
        <v>0.0</v>
      </c>
      <c r="F202" s="1">
        <v>0.0</v>
      </c>
    </row>
    <row r="203">
      <c r="A203" s="1" t="s">
        <v>1214</v>
      </c>
      <c r="B203" s="1">
        <v>15.0</v>
      </c>
      <c r="C203" s="1">
        <v>0.0</v>
      </c>
      <c r="D203" s="1">
        <v>0.0</v>
      </c>
      <c r="E203" s="1">
        <v>0.0</v>
      </c>
      <c r="F203" s="1">
        <v>0.0</v>
      </c>
    </row>
    <row r="204">
      <c r="A204" s="1" t="s">
        <v>1233</v>
      </c>
      <c r="B204" s="1">
        <v>22.0</v>
      </c>
      <c r="C204" s="1">
        <v>0.0</v>
      </c>
      <c r="D204" s="1">
        <v>0.0</v>
      </c>
      <c r="E204" s="1">
        <v>0.0</v>
      </c>
      <c r="F204" s="1">
        <v>0.0</v>
      </c>
    </row>
    <row r="205">
      <c r="A205" s="1" t="s">
        <v>1629</v>
      </c>
      <c r="B205" s="1">
        <v>146.0</v>
      </c>
      <c r="C205" s="1">
        <v>1.0</v>
      </c>
      <c r="D205" s="1">
        <v>0.0</v>
      </c>
      <c r="E205" s="1">
        <v>0.0</v>
      </c>
      <c r="F205" s="1">
        <v>0.0</v>
      </c>
    </row>
    <row r="206">
      <c r="A206" s="1" t="s">
        <v>443</v>
      </c>
      <c r="B206" s="1">
        <v>17.0</v>
      </c>
      <c r="C206" s="1">
        <v>0.0</v>
      </c>
      <c r="D206" s="1">
        <v>0.0</v>
      </c>
      <c r="E206" s="1">
        <v>0.0</v>
      </c>
      <c r="F206" s="1">
        <v>0.0</v>
      </c>
    </row>
    <row r="207">
      <c r="A207" s="1" t="s">
        <v>1430</v>
      </c>
      <c r="B207" s="1">
        <v>34.0</v>
      </c>
      <c r="C207" s="1">
        <v>0.0</v>
      </c>
      <c r="D207" s="1">
        <v>0.0</v>
      </c>
      <c r="E207" s="1">
        <v>0.0</v>
      </c>
      <c r="F207" s="1">
        <v>0.0</v>
      </c>
    </row>
    <row r="208">
      <c r="A208" s="1" t="s">
        <v>1301</v>
      </c>
      <c r="B208" s="1">
        <v>25.0</v>
      </c>
      <c r="C208" s="1">
        <v>0.0</v>
      </c>
      <c r="D208" s="1">
        <v>0.0</v>
      </c>
      <c r="E208" s="1">
        <v>0.0</v>
      </c>
      <c r="F208" s="1">
        <v>0.0</v>
      </c>
    </row>
    <row r="209">
      <c r="A209" s="1" t="s">
        <v>582</v>
      </c>
      <c r="B209" s="1">
        <v>107.0</v>
      </c>
      <c r="C209" s="1">
        <v>0.0</v>
      </c>
      <c r="D209" s="1">
        <v>0.0</v>
      </c>
      <c r="E209" s="1">
        <v>0.0</v>
      </c>
      <c r="F209" s="1">
        <v>0.0</v>
      </c>
    </row>
    <row r="210">
      <c r="A210" s="1" t="s">
        <v>1377</v>
      </c>
      <c r="B210" s="1">
        <v>49.0</v>
      </c>
      <c r="C210" s="1">
        <v>0.0</v>
      </c>
      <c r="D210" s="1">
        <v>0.0</v>
      </c>
      <c r="E210" s="1">
        <v>0.0</v>
      </c>
      <c r="F210" s="1">
        <v>0.0</v>
      </c>
    </row>
    <row r="211">
      <c r="A211" s="1" t="s">
        <v>1949</v>
      </c>
      <c r="B211" s="1">
        <v>10.0</v>
      </c>
      <c r="C211" s="1">
        <v>0.0</v>
      </c>
      <c r="D211" s="1">
        <v>0.0</v>
      </c>
      <c r="E211" s="1">
        <v>0.0</v>
      </c>
      <c r="F211" s="1">
        <v>0.0</v>
      </c>
    </row>
    <row r="212">
      <c r="A212" s="1" t="s">
        <v>1493</v>
      </c>
      <c r="B212" s="1">
        <v>165.0</v>
      </c>
      <c r="C212" s="1">
        <v>1.0</v>
      </c>
      <c r="D212" s="1">
        <v>0.0</v>
      </c>
      <c r="E212" s="1">
        <v>0.0</v>
      </c>
      <c r="F212" s="1">
        <v>0.0</v>
      </c>
    </row>
    <row r="213">
      <c r="A213" s="1" t="s">
        <v>1157</v>
      </c>
      <c r="B213" s="1">
        <v>54.0</v>
      </c>
      <c r="C213" s="1">
        <v>0.0</v>
      </c>
      <c r="D213" s="1">
        <v>0.0</v>
      </c>
      <c r="E213" s="1">
        <v>0.0</v>
      </c>
      <c r="F213" s="1">
        <v>0.0</v>
      </c>
    </row>
    <row r="214">
      <c r="A214" s="1" t="s">
        <v>701</v>
      </c>
      <c r="B214" s="1">
        <v>54.0</v>
      </c>
      <c r="C214" s="1">
        <v>0.0</v>
      </c>
      <c r="D214" s="1">
        <v>0.0</v>
      </c>
      <c r="E214" s="1">
        <v>0.0</v>
      </c>
      <c r="F214" s="1">
        <v>0.0</v>
      </c>
    </row>
    <row r="215">
      <c r="A215" s="1" t="s">
        <v>1204</v>
      </c>
      <c r="B215" s="1">
        <v>63.0</v>
      </c>
      <c r="C215" s="1">
        <v>0.0</v>
      </c>
      <c r="D215" s="1">
        <v>0.0</v>
      </c>
      <c r="E215" s="1">
        <v>0.0</v>
      </c>
      <c r="F215" s="1">
        <v>0.0</v>
      </c>
    </row>
    <row r="216">
      <c r="A216" s="1" t="s">
        <v>720</v>
      </c>
      <c r="B216" s="1">
        <v>91.0</v>
      </c>
      <c r="C216" s="1">
        <v>0.0</v>
      </c>
      <c r="D216" s="1">
        <v>0.0</v>
      </c>
      <c r="E216" s="1">
        <v>0.0</v>
      </c>
      <c r="F216" s="1">
        <v>0.0</v>
      </c>
    </row>
    <row r="217">
      <c r="A217" s="1" t="s">
        <v>1080</v>
      </c>
      <c r="B217" s="1">
        <v>11.0</v>
      </c>
      <c r="C217" s="1">
        <v>0.0</v>
      </c>
      <c r="D217" s="1">
        <v>0.0</v>
      </c>
      <c r="E217" s="1">
        <v>0.0</v>
      </c>
      <c r="F217" s="1">
        <v>0.0</v>
      </c>
    </row>
    <row r="218">
      <c r="A218" s="1" t="s">
        <v>1775</v>
      </c>
      <c r="B218" s="1">
        <v>16.0</v>
      </c>
      <c r="C218" s="1">
        <v>0.0</v>
      </c>
      <c r="D218" s="1">
        <v>0.0</v>
      </c>
      <c r="E218" s="1">
        <v>0.0</v>
      </c>
      <c r="F218" s="1">
        <v>0.0</v>
      </c>
    </row>
    <row r="219">
      <c r="A219" s="1" t="s">
        <v>1623</v>
      </c>
      <c r="B219" s="1">
        <v>12.0</v>
      </c>
      <c r="C219" s="1">
        <v>0.0</v>
      </c>
      <c r="D219" s="1">
        <v>0.0</v>
      </c>
      <c r="E219" s="1">
        <v>0.0</v>
      </c>
      <c r="F219" s="1">
        <v>0.0</v>
      </c>
    </row>
    <row r="220">
      <c r="A220" s="1" t="s">
        <v>892</v>
      </c>
      <c r="B220" s="1">
        <v>21.0</v>
      </c>
      <c r="C220" s="1">
        <v>0.0</v>
      </c>
      <c r="D220" s="1">
        <v>0.0</v>
      </c>
      <c r="E220" s="1">
        <v>0.0</v>
      </c>
      <c r="F220" s="1">
        <v>0.0</v>
      </c>
    </row>
    <row r="221">
      <c r="A221" s="1" t="s">
        <v>772</v>
      </c>
      <c r="B221" s="1">
        <v>15.0</v>
      </c>
      <c r="C221" s="1">
        <v>0.0</v>
      </c>
      <c r="D221" s="1">
        <v>0.0</v>
      </c>
      <c r="E221" s="1">
        <v>0.0</v>
      </c>
      <c r="F221" s="1">
        <v>0.0</v>
      </c>
    </row>
    <row r="222">
      <c r="A222" s="1" t="s">
        <v>880</v>
      </c>
      <c r="B222" s="1">
        <v>4.0</v>
      </c>
      <c r="C222" s="1">
        <v>0.0</v>
      </c>
      <c r="D222" s="1">
        <v>0.0</v>
      </c>
      <c r="E222" s="1">
        <v>0.0</v>
      </c>
      <c r="F222" s="1">
        <v>0.0</v>
      </c>
    </row>
    <row r="223">
      <c r="A223" s="1" t="s">
        <v>1422</v>
      </c>
      <c r="B223" s="1">
        <v>68.0</v>
      </c>
      <c r="C223" s="1">
        <v>0.0</v>
      </c>
      <c r="D223" s="1">
        <v>0.0</v>
      </c>
      <c r="E223" s="1">
        <v>0.0</v>
      </c>
      <c r="F223" s="1">
        <v>0.0</v>
      </c>
    </row>
    <row r="224">
      <c r="A224" s="1" t="s">
        <v>1380</v>
      </c>
      <c r="B224" s="1">
        <v>109.0</v>
      </c>
      <c r="C224" s="1">
        <v>0.0</v>
      </c>
      <c r="D224" s="1">
        <v>0.0</v>
      </c>
      <c r="E224" s="1">
        <v>0.0</v>
      </c>
      <c r="F224" s="1">
        <v>0.0</v>
      </c>
    </row>
    <row r="225">
      <c r="A225" s="1" t="s">
        <v>1756</v>
      </c>
      <c r="B225" s="1">
        <v>42.0</v>
      </c>
      <c r="C225" s="1">
        <v>0.0</v>
      </c>
      <c r="D225" s="1">
        <v>0.0</v>
      </c>
      <c r="E225" s="1">
        <v>0.0</v>
      </c>
      <c r="F225" s="1">
        <v>0.0</v>
      </c>
    </row>
    <row r="226">
      <c r="A226" s="1" t="s">
        <v>1714</v>
      </c>
      <c r="B226" s="1">
        <v>122.0</v>
      </c>
      <c r="C226" s="1">
        <v>0.0</v>
      </c>
      <c r="D226" s="1">
        <v>0.0</v>
      </c>
      <c r="E226" s="1">
        <v>0.0</v>
      </c>
      <c r="F226" s="1">
        <v>0.0</v>
      </c>
    </row>
    <row r="227">
      <c r="A227" s="1" t="s">
        <v>330</v>
      </c>
      <c r="B227" s="1">
        <v>126.0</v>
      </c>
      <c r="C227" s="1">
        <v>1.0</v>
      </c>
      <c r="D227" s="1">
        <v>0.0</v>
      </c>
      <c r="E227" s="1">
        <v>0.0</v>
      </c>
      <c r="F227" s="1">
        <v>0.0</v>
      </c>
    </row>
    <row r="228">
      <c r="A228" s="1" t="s">
        <v>1394</v>
      </c>
      <c r="B228" s="1">
        <v>85.0</v>
      </c>
      <c r="C228" s="1">
        <v>0.0</v>
      </c>
      <c r="D228" s="1">
        <v>0.0</v>
      </c>
      <c r="E228" s="1">
        <v>0.0</v>
      </c>
      <c r="F228" s="1">
        <v>0.0</v>
      </c>
    </row>
    <row r="229">
      <c r="A229" s="1" t="s">
        <v>984</v>
      </c>
      <c r="B229" s="1">
        <v>87.0</v>
      </c>
      <c r="C229" s="1">
        <v>0.0</v>
      </c>
      <c r="D229" s="1">
        <v>0.0</v>
      </c>
      <c r="E229" s="1">
        <v>0.0</v>
      </c>
      <c r="F229" s="1">
        <v>0.0</v>
      </c>
    </row>
    <row r="230">
      <c r="A230" s="1" t="s">
        <v>228</v>
      </c>
      <c r="B230" s="1">
        <v>35.0</v>
      </c>
      <c r="C230" s="1">
        <v>0.0</v>
      </c>
      <c r="D230" s="1">
        <v>0.0</v>
      </c>
      <c r="E230" s="1">
        <v>0.0</v>
      </c>
      <c r="F230" s="1">
        <v>0.0</v>
      </c>
    </row>
    <row r="231">
      <c r="A231" s="1" t="s">
        <v>517</v>
      </c>
      <c r="B231" s="1">
        <v>35.0</v>
      </c>
      <c r="C231" s="1">
        <v>0.0</v>
      </c>
      <c r="D231" s="1">
        <v>0.0</v>
      </c>
      <c r="E231" s="1">
        <v>0.0</v>
      </c>
      <c r="F231" s="1">
        <v>0.0</v>
      </c>
    </row>
    <row r="232">
      <c r="A232" s="1" t="s">
        <v>1359</v>
      </c>
      <c r="B232" s="1">
        <v>33.0</v>
      </c>
      <c r="C232" s="1">
        <v>0.0</v>
      </c>
      <c r="D232" s="1">
        <v>0.0</v>
      </c>
      <c r="E232" s="1">
        <v>0.0</v>
      </c>
      <c r="F232" s="1">
        <v>0.0</v>
      </c>
    </row>
    <row r="233">
      <c r="A233" s="1" t="s">
        <v>993</v>
      </c>
      <c r="B233" s="1">
        <v>72.0</v>
      </c>
      <c r="C233" s="1">
        <v>0.0</v>
      </c>
      <c r="D233" s="1">
        <v>0.0</v>
      </c>
      <c r="E233" s="1">
        <v>0.0</v>
      </c>
      <c r="F233" s="1">
        <v>0.0</v>
      </c>
    </row>
    <row r="234">
      <c r="A234" s="1" t="s">
        <v>299</v>
      </c>
      <c r="B234" s="1">
        <v>52.0</v>
      </c>
      <c r="C234" s="1">
        <v>0.0</v>
      </c>
      <c r="D234" s="1">
        <v>0.0</v>
      </c>
      <c r="E234" s="1">
        <v>0.0</v>
      </c>
      <c r="F234" s="1">
        <v>0.0</v>
      </c>
    </row>
    <row r="235">
      <c r="A235" s="1" t="s">
        <v>790</v>
      </c>
      <c r="B235" s="1">
        <v>10.0</v>
      </c>
      <c r="C235" s="1">
        <v>0.0</v>
      </c>
      <c r="D235" s="1">
        <v>0.0</v>
      </c>
      <c r="E235" s="1">
        <v>0.0</v>
      </c>
      <c r="F235" s="1">
        <v>0.0</v>
      </c>
    </row>
    <row r="236">
      <c r="A236" s="1" t="s">
        <v>646</v>
      </c>
      <c r="B236" s="1">
        <v>124.0</v>
      </c>
      <c r="C236" s="1">
        <v>0.0</v>
      </c>
      <c r="D236" s="1">
        <v>0.0</v>
      </c>
      <c r="E236" s="1">
        <v>0.0</v>
      </c>
      <c r="F236" s="1">
        <v>0.0</v>
      </c>
    </row>
    <row r="237">
      <c r="A237" s="1" t="s">
        <v>1810</v>
      </c>
      <c r="B237" s="1">
        <v>5.0</v>
      </c>
      <c r="C237" s="1">
        <v>0.0</v>
      </c>
      <c r="D237" s="1">
        <v>0.0</v>
      </c>
      <c r="E237" s="1">
        <v>0.0</v>
      </c>
      <c r="F237" s="1">
        <v>0.0</v>
      </c>
    </row>
    <row r="238">
      <c r="A238" s="1" t="s">
        <v>656</v>
      </c>
      <c r="B238" s="1">
        <v>281.0</v>
      </c>
      <c r="C238" s="1">
        <v>0.0</v>
      </c>
      <c r="D238" s="1">
        <v>0.0</v>
      </c>
      <c r="E238" s="1">
        <v>0.0</v>
      </c>
      <c r="F238" s="1">
        <v>0.0</v>
      </c>
    </row>
    <row r="239">
      <c r="A239" s="1" t="s">
        <v>920</v>
      </c>
      <c r="B239" s="1">
        <v>33.0</v>
      </c>
      <c r="C239" s="1">
        <v>0.0</v>
      </c>
      <c r="D239" s="1">
        <v>0.0</v>
      </c>
      <c r="E239" s="1">
        <v>0.0</v>
      </c>
      <c r="F239" s="1">
        <v>0.0</v>
      </c>
    </row>
    <row r="240">
      <c r="A240" s="1" t="s">
        <v>766</v>
      </c>
      <c r="B240" s="1">
        <v>67.0</v>
      </c>
      <c r="C240" s="1">
        <v>0.0</v>
      </c>
      <c r="D240" s="1">
        <v>0.0</v>
      </c>
      <c r="E240" s="1">
        <v>0.0</v>
      </c>
      <c r="F240" s="1">
        <v>0.0</v>
      </c>
    </row>
    <row r="241">
      <c r="A241" s="1" t="s">
        <v>431</v>
      </c>
      <c r="B241" s="1">
        <v>30.0</v>
      </c>
      <c r="C241" s="1">
        <v>0.0</v>
      </c>
      <c r="D241" s="1">
        <v>0.0</v>
      </c>
      <c r="E241" s="1">
        <v>0.0</v>
      </c>
      <c r="F241" s="1">
        <v>0.0</v>
      </c>
    </row>
    <row r="242">
      <c r="A242" s="1" t="s">
        <v>1561</v>
      </c>
      <c r="B242" s="1">
        <v>17.0</v>
      </c>
      <c r="C242" s="1">
        <v>0.0</v>
      </c>
      <c r="D242" s="1">
        <v>0.0</v>
      </c>
      <c r="E242" s="1">
        <v>0.0</v>
      </c>
      <c r="F242" s="1">
        <v>0.0</v>
      </c>
    </row>
    <row r="243">
      <c r="A243" s="1" t="s">
        <v>506</v>
      </c>
      <c r="B243" s="1">
        <v>130.0</v>
      </c>
      <c r="C243" s="1">
        <v>0.0</v>
      </c>
      <c r="D243" s="1">
        <v>0.0</v>
      </c>
      <c r="E243" s="1">
        <v>0.0</v>
      </c>
      <c r="F243" s="1">
        <v>0.0</v>
      </c>
    </row>
    <row r="244">
      <c r="A244" s="1" t="s">
        <v>812</v>
      </c>
      <c r="B244" s="1">
        <v>102.0</v>
      </c>
      <c r="C244" s="1">
        <v>0.0</v>
      </c>
      <c r="D244" s="1">
        <v>0.0</v>
      </c>
      <c r="E244" s="1">
        <v>0.0</v>
      </c>
      <c r="F244" s="1">
        <v>0.0</v>
      </c>
    </row>
    <row r="245">
      <c r="A245" s="1" t="s">
        <v>1544</v>
      </c>
      <c r="B245" s="1">
        <v>25.0</v>
      </c>
      <c r="C245" s="1">
        <v>0.0</v>
      </c>
      <c r="D245" s="1">
        <v>0.0</v>
      </c>
      <c r="E245" s="1">
        <v>0.0</v>
      </c>
      <c r="F245" s="1">
        <v>0.0</v>
      </c>
    </row>
    <row r="246">
      <c r="A246" s="1" t="s">
        <v>324</v>
      </c>
      <c r="B246" s="1">
        <v>43.0</v>
      </c>
      <c r="C246" s="1">
        <v>0.0</v>
      </c>
      <c r="D246" s="1">
        <v>0.0</v>
      </c>
      <c r="E246" s="1">
        <v>0.0</v>
      </c>
      <c r="F246" s="1">
        <v>0.0</v>
      </c>
    </row>
    <row r="247">
      <c r="A247" s="1" t="s">
        <v>1702</v>
      </c>
      <c r="B247" s="1">
        <v>18.0</v>
      </c>
      <c r="C247" s="1">
        <v>0.0</v>
      </c>
      <c r="D247" s="1">
        <v>0.0</v>
      </c>
      <c r="E247" s="1">
        <v>0.0</v>
      </c>
      <c r="F247" s="1">
        <v>0.0</v>
      </c>
    </row>
    <row r="248">
      <c r="A248" s="1" t="s">
        <v>1487</v>
      </c>
      <c r="B248" s="1">
        <v>31.0</v>
      </c>
      <c r="C248" s="1">
        <v>0.0</v>
      </c>
      <c r="D248" s="1">
        <v>0.0</v>
      </c>
      <c r="E248" s="1">
        <v>0.0</v>
      </c>
      <c r="F248" s="1">
        <v>0.0</v>
      </c>
    </row>
    <row r="249">
      <c r="A249" s="1" t="s">
        <v>995</v>
      </c>
      <c r="B249" s="1">
        <v>21.0</v>
      </c>
      <c r="C249" s="1">
        <v>0.0</v>
      </c>
      <c r="D249" s="1">
        <v>0.0</v>
      </c>
      <c r="E249" s="1">
        <v>0.0</v>
      </c>
      <c r="F249" s="1">
        <v>0.0</v>
      </c>
    </row>
    <row r="250">
      <c r="A250" s="1" t="s">
        <v>1189</v>
      </c>
      <c r="B250" s="1">
        <v>16.0</v>
      </c>
      <c r="C250" s="1">
        <v>0.0</v>
      </c>
      <c r="D250" s="1">
        <v>0.0</v>
      </c>
      <c r="E250" s="1">
        <v>0.0</v>
      </c>
      <c r="F250" s="1">
        <v>0.0</v>
      </c>
    </row>
    <row r="251">
      <c r="A251" s="1" t="s">
        <v>1868</v>
      </c>
      <c r="B251" s="1">
        <v>40.0</v>
      </c>
      <c r="C251" s="1">
        <v>0.0</v>
      </c>
      <c r="D251" s="1">
        <v>0.0</v>
      </c>
      <c r="E251" s="1">
        <v>0.0</v>
      </c>
      <c r="F251" s="1">
        <v>0.0</v>
      </c>
    </row>
    <row r="252">
      <c r="A252" s="1" t="s">
        <v>625</v>
      </c>
      <c r="B252" s="1">
        <v>59.0</v>
      </c>
      <c r="C252" s="1">
        <v>0.0</v>
      </c>
      <c r="D252" s="1">
        <v>0.0</v>
      </c>
      <c r="E252" s="1">
        <v>0.0</v>
      </c>
      <c r="F252" s="1">
        <v>0.0</v>
      </c>
    </row>
    <row r="253">
      <c r="A253" s="1" t="s">
        <v>243</v>
      </c>
      <c r="B253" s="1">
        <v>40.0</v>
      </c>
      <c r="C253" s="1">
        <v>0.0</v>
      </c>
      <c r="D253" s="1">
        <v>0.0</v>
      </c>
      <c r="E253" s="1">
        <v>0.0</v>
      </c>
      <c r="F253" s="1">
        <v>0.0</v>
      </c>
    </row>
    <row r="254">
      <c r="A254" s="1" t="s">
        <v>1834</v>
      </c>
      <c r="B254" s="1">
        <v>104.0</v>
      </c>
      <c r="C254" s="1">
        <v>0.0</v>
      </c>
      <c r="D254" s="1">
        <v>0.0</v>
      </c>
      <c r="E254" s="1">
        <v>0.0</v>
      </c>
      <c r="F254" s="1">
        <v>0.0</v>
      </c>
    </row>
    <row r="255">
      <c r="A255" s="1" t="s">
        <v>1482</v>
      </c>
      <c r="B255" s="1">
        <v>15.0</v>
      </c>
      <c r="C255" s="1">
        <v>0.0</v>
      </c>
      <c r="D255" s="1">
        <v>0.0</v>
      </c>
      <c r="E255" s="1">
        <v>0.0</v>
      </c>
      <c r="F255" s="1">
        <v>0.0</v>
      </c>
    </row>
    <row r="256">
      <c r="A256" s="1" t="s">
        <v>1536</v>
      </c>
      <c r="B256" s="1">
        <v>124.0</v>
      </c>
      <c r="C256" s="1">
        <v>0.0</v>
      </c>
      <c r="D256" s="1">
        <v>0.0</v>
      </c>
      <c r="E256" s="1">
        <v>0.0</v>
      </c>
      <c r="F256" s="1">
        <v>0.0</v>
      </c>
    </row>
    <row r="257">
      <c r="A257" s="1" t="s">
        <v>2017</v>
      </c>
      <c r="B257" s="1">
        <v>59.0</v>
      </c>
      <c r="C257" s="1">
        <v>0.0</v>
      </c>
      <c r="D257" s="1">
        <v>0.0</v>
      </c>
      <c r="E257" s="1">
        <v>0.0</v>
      </c>
      <c r="F257" s="1">
        <v>0.0</v>
      </c>
    </row>
    <row r="258">
      <c r="A258" s="1" t="s">
        <v>1680</v>
      </c>
      <c r="B258" s="1">
        <v>7.0</v>
      </c>
      <c r="C258" s="1">
        <v>0.0</v>
      </c>
      <c r="D258" s="1">
        <v>0.0</v>
      </c>
      <c r="E258" s="1">
        <v>0.0</v>
      </c>
      <c r="F258" s="1">
        <v>0.0</v>
      </c>
    </row>
    <row r="259">
      <c r="A259" s="1" t="s">
        <v>1899</v>
      </c>
      <c r="B259" s="1">
        <v>67.0</v>
      </c>
      <c r="C259" s="1">
        <v>0.0</v>
      </c>
      <c r="D259" s="1">
        <v>0.0</v>
      </c>
      <c r="E259" s="1">
        <v>0.0</v>
      </c>
      <c r="F259" s="1">
        <v>0.0</v>
      </c>
    </row>
    <row r="260">
      <c r="A260" s="1" t="s">
        <v>1237</v>
      </c>
      <c r="B260" s="1">
        <v>37.0</v>
      </c>
      <c r="C260" s="1">
        <v>0.0</v>
      </c>
      <c r="D260" s="1">
        <v>0.0</v>
      </c>
      <c r="E260" s="1">
        <v>0.0</v>
      </c>
      <c r="F260" s="1">
        <v>0.0</v>
      </c>
    </row>
    <row r="261">
      <c r="A261" s="1" t="s">
        <v>346</v>
      </c>
      <c r="B261" s="1">
        <v>40.0</v>
      </c>
      <c r="C261" s="1">
        <v>0.0</v>
      </c>
      <c r="D261" s="1">
        <v>0.0</v>
      </c>
      <c r="E261" s="1">
        <v>0.0</v>
      </c>
      <c r="F261" s="1">
        <v>0.0</v>
      </c>
    </row>
    <row r="262">
      <c r="A262" s="1" t="s">
        <v>836</v>
      </c>
      <c r="B262" s="1">
        <v>66513.0</v>
      </c>
      <c r="C262" s="1">
        <v>1186.0</v>
      </c>
      <c r="D262" s="1">
        <v>49.0</v>
      </c>
      <c r="E262" s="1">
        <v>4392.0</v>
      </c>
      <c r="F262" s="1">
        <v>41.0</v>
      </c>
    </row>
    <row r="263">
      <c r="A263" s="1" t="s">
        <v>758</v>
      </c>
      <c r="B263" s="1">
        <v>51.0</v>
      </c>
      <c r="C263" s="1">
        <v>0.0</v>
      </c>
      <c r="D263" s="1">
        <v>0.0</v>
      </c>
      <c r="E263" s="1">
        <v>0.0</v>
      </c>
      <c r="F263" s="1">
        <v>0.0</v>
      </c>
    </row>
    <row r="264">
      <c r="A264" s="1" t="s">
        <v>355</v>
      </c>
      <c r="B264" s="1">
        <v>42.0</v>
      </c>
      <c r="C264" s="1">
        <v>0.0</v>
      </c>
      <c r="D264" s="1">
        <v>0.0</v>
      </c>
      <c r="E264" s="1">
        <v>0.0</v>
      </c>
      <c r="F264" s="1">
        <v>0.0</v>
      </c>
    </row>
    <row r="265">
      <c r="A265" s="1" t="s">
        <v>754</v>
      </c>
      <c r="B265" s="1">
        <v>42.0</v>
      </c>
      <c r="C265" s="1">
        <v>0.0</v>
      </c>
      <c r="D265" s="1">
        <v>0.0</v>
      </c>
      <c r="E265" s="1">
        <v>0.0</v>
      </c>
      <c r="F265" s="1">
        <v>0.0</v>
      </c>
    </row>
    <row r="266">
      <c r="A266" s="1" t="s">
        <v>2067</v>
      </c>
      <c r="B266" s="1">
        <v>180.0</v>
      </c>
      <c r="C266" s="1">
        <v>1.0</v>
      </c>
      <c r="D266" s="1">
        <v>0.0</v>
      </c>
      <c r="E266" s="1">
        <v>0.0</v>
      </c>
      <c r="F266" s="1">
        <v>0.0</v>
      </c>
    </row>
    <row r="267">
      <c r="A267" s="1" t="s">
        <v>893</v>
      </c>
      <c r="B267" s="1">
        <v>120.0</v>
      </c>
      <c r="C267" s="1">
        <v>0.0</v>
      </c>
      <c r="D267" s="1">
        <v>0.0</v>
      </c>
      <c r="E267" s="1">
        <v>0.0</v>
      </c>
      <c r="F267" s="1">
        <v>0.0</v>
      </c>
    </row>
    <row r="268">
      <c r="A268" s="1" t="s">
        <v>1176</v>
      </c>
      <c r="B268" s="1">
        <v>27.0</v>
      </c>
      <c r="C268" s="1">
        <v>0.0</v>
      </c>
      <c r="D268" s="1">
        <v>0.0</v>
      </c>
      <c r="E268" s="1">
        <v>0.0</v>
      </c>
      <c r="F268" s="1">
        <v>0.0</v>
      </c>
    </row>
    <row r="269">
      <c r="A269" s="1" t="s">
        <v>201</v>
      </c>
      <c r="B269" s="1">
        <v>16.0</v>
      </c>
      <c r="C269" s="1">
        <v>0.0</v>
      </c>
      <c r="D269" s="1">
        <v>0.0</v>
      </c>
      <c r="E269" s="1">
        <v>0.0</v>
      </c>
      <c r="F269" s="1">
        <v>0.0</v>
      </c>
    </row>
    <row r="270">
      <c r="A270" s="1" t="s">
        <v>583</v>
      </c>
      <c r="B270" s="1">
        <v>192.0</v>
      </c>
      <c r="C270" s="1">
        <v>1.0</v>
      </c>
      <c r="D270" s="1">
        <v>0.0</v>
      </c>
      <c r="E270" s="1">
        <v>0.0</v>
      </c>
      <c r="F270" s="1">
        <v>0.0</v>
      </c>
    </row>
    <row r="271">
      <c r="A271" s="1" t="s">
        <v>884</v>
      </c>
      <c r="B271" s="1">
        <v>55.0</v>
      </c>
      <c r="C271" s="1">
        <v>0.0</v>
      </c>
      <c r="D271" s="1">
        <v>0.0</v>
      </c>
      <c r="E271" s="1">
        <v>0.0</v>
      </c>
      <c r="F271" s="1">
        <v>0.0</v>
      </c>
    </row>
    <row r="272">
      <c r="A272" s="1" t="s">
        <v>1385</v>
      </c>
      <c r="B272" s="1">
        <v>107.0</v>
      </c>
      <c r="C272" s="1">
        <v>0.0</v>
      </c>
      <c r="D272" s="1">
        <v>0.0</v>
      </c>
      <c r="E272" s="1">
        <v>0.0</v>
      </c>
      <c r="F272" s="1">
        <v>0.0</v>
      </c>
    </row>
    <row r="273">
      <c r="A273" s="1" t="s">
        <v>1383</v>
      </c>
      <c r="B273" s="1">
        <v>20.0</v>
      </c>
      <c r="C273" s="1">
        <v>0.0</v>
      </c>
      <c r="D273" s="1">
        <v>0.0</v>
      </c>
      <c r="E273" s="1">
        <v>0.0</v>
      </c>
      <c r="F273" s="1">
        <v>0.0</v>
      </c>
    </row>
    <row r="274">
      <c r="A274" s="1" t="s">
        <v>575</v>
      </c>
      <c r="B274" s="1">
        <v>39.0</v>
      </c>
      <c r="C274" s="1">
        <v>0.0</v>
      </c>
      <c r="D274" s="1">
        <v>0.0</v>
      </c>
      <c r="E274" s="1">
        <v>0.0</v>
      </c>
      <c r="F274" s="1">
        <v>0.0</v>
      </c>
    </row>
    <row r="275">
      <c r="A275" s="1" t="s">
        <v>1650</v>
      </c>
      <c r="B275" s="1">
        <v>120.0</v>
      </c>
      <c r="C275" s="1">
        <v>0.0</v>
      </c>
      <c r="D275" s="1">
        <v>0.0</v>
      </c>
      <c r="E275" s="1">
        <v>0.0</v>
      </c>
      <c r="F275" s="1">
        <v>0.0</v>
      </c>
    </row>
    <row r="276">
      <c r="A276" s="1" t="s">
        <v>430</v>
      </c>
      <c r="B276" s="1">
        <v>14.0</v>
      </c>
      <c r="C276" s="1">
        <v>0.0</v>
      </c>
      <c r="D276" s="1">
        <v>0.0</v>
      </c>
      <c r="E276" s="1">
        <v>0.0</v>
      </c>
      <c r="F276" s="1">
        <v>0.0</v>
      </c>
    </row>
    <row r="277">
      <c r="A277" s="1" t="s">
        <v>1115</v>
      </c>
      <c r="B277" s="1">
        <v>10.0</v>
      </c>
      <c r="C277" s="1">
        <v>0.0</v>
      </c>
      <c r="D277" s="1">
        <v>0.0</v>
      </c>
      <c r="E277" s="1">
        <v>0.0</v>
      </c>
      <c r="F277" s="1">
        <v>0.0</v>
      </c>
    </row>
    <row r="278">
      <c r="A278" s="1" t="s">
        <v>1991</v>
      </c>
      <c r="B278" s="1">
        <v>8.0</v>
      </c>
      <c r="C278" s="1">
        <v>0.0</v>
      </c>
      <c r="D278" s="1">
        <v>0.0</v>
      </c>
      <c r="E278" s="1">
        <v>0.0</v>
      </c>
      <c r="F278" s="1">
        <v>0.0</v>
      </c>
    </row>
    <row r="279">
      <c r="A279" s="1" t="s">
        <v>1603</v>
      </c>
      <c r="B279" s="1">
        <v>22.0</v>
      </c>
      <c r="C279" s="1">
        <v>0.0</v>
      </c>
      <c r="D279" s="1">
        <v>0.0</v>
      </c>
      <c r="E279" s="1">
        <v>0.0</v>
      </c>
      <c r="F279" s="1">
        <v>0.0</v>
      </c>
    </row>
    <row r="280">
      <c r="A280" s="1" t="s">
        <v>971</v>
      </c>
      <c r="B280" s="1">
        <v>5.0</v>
      </c>
      <c r="C280" s="1">
        <v>0.0</v>
      </c>
      <c r="D280" s="1">
        <v>0.0</v>
      </c>
      <c r="E280" s="1">
        <v>0.0</v>
      </c>
      <c r="F280" s="1">
        <v>0.0</v>
      </c>
    </row>
    <row r="281">
      <c r="A281" s="1" t="s">
        <v>518</v>
      </c>
      <c r="B281" s="1">
        <v>30.0</v>
      </c>
      <c r="C281" s="1">
        <v>0.0</v>
      </c>
      <c r="D281" s="1">
        <v>0.0</v>
      </c>
      <c r="E281" s="1">
        <v>0.0</v>
      </c>
      <c r="F281" s="1">
        <v>0.0</v>
      </c>
    </row>
    <row r="282">
      <c r="A282" s="1" t="s">
        <v>225</v>
      </c>
      <c r="B282" s="1">
        <v>17.0</v>
      </c>
      <c r="C282" s="1">
        <v>0.0</v>
      </c>
      <c r="D282" s="1">
        <v>0.0</v>
      </c>
      <c r="E282" s="1">
        <v>0.0</v>
      </c>
      <c r="F282" s="1">
        <v>0.0</v>
      </c>
    </row>
    <row r="283">
      <c r="A283" s="1" t="s">
        <v>757</v>
      </c>
      <c r="B283" s="1">
        <v>173.0</v>
      </c>
      <c r="C283" s="1">
        <v>1.0</v>
      </c>
      <c r="D283" s="1">
        <v>0.0</v>
      </c>
      <c r="E283" s="1">
        <v>0.0</v>
      </c>
      <c r="F283" s="1">
        <v>0.0</v>
      </c>
    </row>
    <row r="284">
      <c r="A284" s="1" t="s">
        <v>1808</v>
      </c>
      <c r="B284" s="1">
        <v>145.0</v>
      </c>
      <c r="C284" s="1">
        <v>0.0</v>
      </c>
      <c r="D284" s="1">
        <v>0.0</v>
      </c>
      <c r="E284" s="1">
        <v>0.0</v>
      </c>
      <c r="F284" s="1">
        <v>0.0</v>
      </c>
    </row>
    <row r="285">
      <c r="A285" s="1" t="s">
        <v>1791</v>
      </c>
      <c r="B285" s="1">
        <v>6.0</v>
      </c>
      <c r="C285" s="1">
        <v>0.0</v>
      </c>
      <c r="D285" s="1">
        <v>0.0</v>
      </c>
      <c r="E285" s="1">
        <v>0.0</v>
      </c>
      <c r="F285" s="1">
        <v>0.0</v>
      </c>
    </row>
    <row r="286">
      <c r="A286" s="1" t="s">
        <v>2065</v>
      </c>
      <c r="B286" s="1">
        <v>17.0</v>
      </c>
      <c r="C286" s="1">
        <v>0.0</v>
      </c>
      <c r="D286" s="1">
        <v>0.0</v>
      </c>
      <c r="E286" s="1">
        <v>0.0</v>
      </c>
      <c r="F286" s="1">
        <v>0.0</v>
      </c>
    </row>
    <row r="287">
      <c r="A287" s="1" t="s">
        <v>1126</v>
      </c>
      <c r="B287" s="1">
        <v>67.0</v>
      </c>
      <c r="C287" s="1">
        <v>0.0</v>
      </c>
      <c r="D287" s="1">
        <v>0.0</v>
      </c>
      <c r="E287" s="1">
        <v>0.0</v>
      </c>
      <c r="F287" s="1">
        <v>0.0</v>
      </c>
    </row>
    <row r="288">
      <c r="A288" s="1" t="s">
        <v>381</v>
      </c>
      <c r="B288" s="1">
        <v>14.0</v>
      </c>
      <c r="C288" s="1">
        <v>0.0</v>
      </c>
      <c r="D288" s="1">
        <v>0.0</v>
      </c>
      <c r="E288" s="1">
        <v>0.0</v>
      </c>
      <c r="F288" s="1">
        <v>0.0</v>
      </c>
    </row>
    <row r="289">
      <c r="A289" s="1" t="s">
        <v>762</v>
      </c>
      <c r="B289" s="1">
        <v>31.0</v>
      </c>
      <c r="C289" s="1">
        <v>0.0</v>
      </c>
      <c r="D289" s="1">
        <v>0.0</v>
      </c>
      <c r="E289" s="1">
        <v>0.0</v>
      </c>
      <c r="F289" s="1">
        <v>0.0</v>
      </c>
    </row>
    <row r="290">
      <c r="A290" s="1" t="s">
        <v>1220</v>
      </c>
      <c r="B290" s="1">
        <v>66.0</v>
      </c>
      <c r="C290" s="1">
        <v>0.0</v>
      </c>
      <c r="D290" s="1">
        <v>0.0</v>
      </c>
      <c r="E290" s="1">
        <v>0.0</v>
      </c>
      <c r="F290" s="1">
        <v>0.0</v>
      </c>
    </row>
    <row r="291">
      <c r="A291" s="1" t="s">
        <v>1741</v>
      </c>
      <c r="B291" s="1">
        <v>476.0</v>
      </c>
      <c r="C291" s="1">
        <v>14.0</v>
      </c>
      <c r="D291" s="1">
        <v>0.0</v>
      </c>
      <c r="E291" s="1">
        <v>0.0</v>
      </c>
      <c r="F291" s="1">
        <v>0.0</v>
      </c>
    </row>
    <row r="292">
      <c r="A292" s="1" t="s">
        <v>1851</v>
      </c>
      <c r="B292" s="1">
        <v>33.0</v>
      </c>
      <c r="C292" s="1">
        <v>0.0</v>
      </c>
      <c r="D292" s="1">
        <v>0.0</v>
      </c>
      <c r="E292" s="1">
        <v>0.0</v>
      </c>
      <c r="F292" s="1">
        <v>0.0</v>
      </c>
    </row>
    <row r="293">
      <c r="A293" s="1" t="s">
        <v>775</v>
      </c>
      <c r="B293" s="1">
        <v>90.0</v>
      </c>
      <c r="C293" s="1">
        <v>0.0</v>
      </c>
      <c r="D293" s="1">
        <v>0.0</v>
      </c>
      <c r="E293" s="1">
        <v>0.0</v>
      </c>
      <c r="F293" s="1">
        <v>0.0</v>
      </c>
    </row>
    <row r="294">
      <c r="A294" s="1" t="s">
        <v>620</v>
      </c>
      <c r="B294" s="1">
        <v>89.0</v>
      </c>
      <c r="C294" s="1">
        <v>0.0</v>
      </c>
      <c r="D294" s="1">
        <v>0.0</v>
      </c>
      <c r="E294" s="1">
        <v>0.0</v>
      </c>
      <c r="F294" s="1">
        <v>0.0</v>
      </c>
    </row>
    <row r="295">
      <c r="A295" s="1" t="s">
        <v>1643</v>
      </c>
      <c r="B295" s="1">
        <v>74.0</v>
      </c>
      <c r="C295" s="1">
        <v>0.0</v>
      </c>
      <c r="D295" s="1">
        <v>0.0</v>
      </c>
      <c r="E295" s="1">
        <v>0.0</v>
      </c>
      <c r="F295" s="1">
        <v>0.0</v>
      </c>
    </row>
    <row r="296">
      <c r="A296" s="1" t="s">
        <v>1496</v>
      </c>
      <c r="B296" s="1">
        <v>93.0</v>
      </c>
      <c r="C296" s="1">
        <v>0.0</v>
      </c>
      <c r="D296" s="1">
        <v>0.0</v>
      </c>
      <c r="E296" s="1">
        <v>0.0</v>
      </c>
      <c r="F296" s="1">
        <v>0.0</v>
      </c>
    </row>
    <row r="297">
      <c r="A297" s="1" t="s">
        <v>568</v>
      </c>
      <c r="B297" s="1">
        <v>27.0</v>
      </c>
      <c r="C297" s="1">
        <v>0.0</v>
      </c>
      <c r="D297" s="1">
        <v>0.0</v>
      </c>
      <c r="E297" s="1">
        <v>0.0</v>
      </c>
      <c r="F297" s="1">
        <v>0.0</v>
      </c>
    </row>
    <row r="298">
      <c r="A298" s="1" t="s">
        <v>1419</v>
      </c>
      <c r="B298" s="1">
        <v>18.0</v>
      </c>
      <c r="C298" s="1">
        <v>0.0</v>
      </c>
      <c r="D298" s="1">
        <v>0.0</v>
      </c>
      <c r="E298" s="1">
        <v>0.0</v>
      </c>
      <c r="F298" s="1">
        <v>0.0</v>
      </c>
    </row>
    <row r="299">
      <c r="A299" s="1" t="s">
        <v>736</v>
      </c>
      <c r="B299" s="1">
        <v>72.0</v>
      </c>
      <c r="C299" s="1">
        <v>0.0</v>
      </c>
      <c r="D299" s="1">
        <v>0.0</v>
      </c>
      <c r="E299" s="1">
        <v>0.0</v>
      </c>
      <c r="F299" s="1">
        <v>0.0</v>
      </c>
    </row>
    <row r="300">
      <c r="A300" s="1" t="s">
        <v>1734</v>
      </c>
      <c r="B300" s="1">
        <v>15.0</v>
      </c>
      <c r="C300" s="1">
        <v>0.0</v>
      </c>
      <c r="D300" s="1">
        <v>0.0</v>
      </c>
      <c r="E300" s="1">
        <v>0.0</v>
      </c>
      <c r="F300" s="1">
        <v>0.0</v>
      </c>
    </row>
    <row r="301">
      <c r="A301" s="1" t="s">
        <v>1366</v>
      </c>
      <c r="B301" s="1">
        <v>10.0</v>
      </c>
      <c r="C301" s="1">
        <v>0.0</v>
      </c>
      <c r="D301" s="1">
        <v>0.0</v>
      </c>
      <c r="E301" s="1">
        <v>0.0</v>
      </c>
      <c r="F301" s="1">
        <v>0.0</v>
      </c>
    </row>
    <row r="302">
      <c r="A302" s="1" t="s">
        <v>1463</v>
      </c>
      <c r="B302" s="1">
        <v>21.0</v>
      </c>
      <c r="C302" s="1">
        <v>0.0</v>
      </c>
      <c r="D302" s="1">
        <v>0.0</v>
      </c>
      <c r="E302" s="1">
        <v>0.0</v>
      </c>
      <c r="F302" s="1">
        <v>0.0</v>
      </c>
    </row>
    <row r="303">
      <c r="A303" s="1" t="s">
        <v>1456</v>
      </c>
      <c r="B303" s="1">
        <v>39.0</v>
      </c>
      <c r="C303" s="1">
        <v>0.0</v>
      </c>
      <c r="D303" s="1">
        <v>0.0</v>
      </c>
      <c r="E303" s="1">
        <v>0.0</v>
      </c>
      <c r="F303" s="1">
        <v>0.0</v>
      </c>
    </row>
    <row r="304">
      <c r="A304" s="1" t="s">
        <v>1341</v>
      </c>
      <c r="B304" s="1">
        <v>19.0</v>
      </c>
      <c r="C304" s="1">
        <v>0.0</v>
      </c>
      <c r="D304" s="1">
        <v>0.0</v>
      </c>
      <c r="E304" s="1">
        <v>0.0</v>
      </c>
      <c r="F304" s="1">
        <v>0.0</v>
      </c>
    </row>
    <row r="305">
      <c r="A305" s="1" t="s">
        <v>1107</v>
      </c>
      <c r="B305" s="1">
        <v>49.0</v>
      </c>
      <c r="C305" s="1">
        <v>0.0</v>
      </c>
      <c r="D305" s="1">
        <v>0.0</v>
      </c>
      <c r="E305" s="1">
        <v>0.0</v>
      </c>
      <c r="F305" s="1">
        <v>0.0</v>
      </c>
    </row>
    <row r="306">
      <c r="A306" s="1" t="s">
        <v>527</v>
      </c>
      <c r="B306" s="1">
        <v>15.0</v>
      </c>
      <c r="C306" s="1">
        <v>0.0</v>
      </c>
      <c r="D306" s="1">
        <v>0.0</v>
      </c>
      <c r="E306" s="1">
        <v>0.0</v>
      </c>
      <c r="F306" s="1">
        <v>0.0</v>
      </c>
    </row>
    <row r="307">
      <c r="A307" s="1" t="s">
        <v>272</v>
      </c>
      <c r="B307" s="1">
        <v>45.0</v>
      </c>
      <c r="C307" s="1">
        <v>0.0</v>
      </c>
      <c r="D307" s="1">
        <v>0.0</v>
      </c>
      <c r="E307" s="1">
        <v>0.0</v>
      </c>
      <c r="F307" s="1">
        <v>0.0</v>
      </c>
    </row>
    <row r="308">
      <c r="A308" s="1" t="s">
        <v>1666</v>
      </c>
      <c r="B308" s="1">
        <v>33.0</v>
      </c>
      <c r="C308" s="1">
        <v>0.0</v>
      </c>
      <c r="D308" s="1">
        <v>0.0</v>
      </c>
      <c r="E308" s="1">
        <v>0.0</v>
      </c>
      <c r="F308" s="1">
        <v>0.0</v>
      </c>
    </row>
    <row r="309">
      <c r="A309" s="1" t="s">
        <v>1447</v>
      </c>
      <c r="B309" s="1">
        <v>70.0</v>
      </c>
      <c r="C309" s="1">
        <v>0.0</v>
      </c>
      <c r="D309" s="1">
        <v>0.0</v>
      </c>
      <c r="E309" s="1">
        <v>0.0</v>
      </c>
      <c r="F309" s="1">
        <v>0.0</v>
      </c>
    </row>
    <row r="310">
      <c r="A310" s="1" t="s">
        <v>1689</v>
      </c>
      <c r="B310" s="1">
        <v>12.0</v>
      </c>
      <c r="C310" s="1">
        <v>0.0</v>
      </c>
      <c r="D310" s="1">
        <v>0.0</v>
      </c>
      <c r="E310" s="1">
        <v>0.0</v>
      </c>
      <c r="F310" s="1">
        <v>0.0</v>
      </c>
    </row>
    <row r="311">
      <c r="A311" s="1" t="s">
        <v>567</v>
      </c>
      <c r="B311" s="1">
        <v>27.0</v>
      </c>
      <c r="C311" s="1">
        <v>0.0</v>
      </c>
      <c r="D311" s="1">
        <v>0.0</v>
      </c>
      <c r="E311" s="1">
        <v>0.0</v>
      </c>
      <c r="F311" s="1">
        <v>0.0</v>
      </c>
    </row>
    <row r="312">
      <c r="A312" s="1" t="s">
        <v>1124</v>
      </c>
      <c r="B312" s="1">
        <v>48.0</v>
      </c>
      <c r="C312" s="1">
        <v>0.0</v>
      </c>
      <c r="D312" s="1">
        <v>0.0</v>
      </c>
      <c r="E312" s="1">
        <v>0.0</v>
      </c>
      <c r="F312" s="1">
        <v>0.0</v>
      </c>
    </row>
    <row r="313">
      <c r="A313" s="1" t="s">
        <v>747</v>
      </c>
      <c r="B313" s="1">
        <v>42.0</v>
      </c>
      <c r="C313" s="1">
        <v>0.0</v>
      </c>
      <c r="D313" s="1">
        <v>0.0</v>
      </c>
      <c r="E313" s="1">
        <v>0.0</v>
      </c>
      <c r="F313" s="1">
        <v>0.0</v>
      </c>
    </row>
    <row r="314">
      <c r="A314" s="1" t="s">
        <v>1621</v>
      </c>
      <c r="B314" s="1">
        <v>40.0</v>
      </c>
      <c r="C314" s="1">
        <v>0.0</v>
      </c>
      <c r="D314" s="1">
        <v>0.0</v>
      </c>
      <c r="E314" s="1">
        <v>0.0</v>
      </c>
      <c r="F314" s="1">
        <v>0.0</v>
      </c>
    </row>
    <row r="315">
      <c r="A315" s="1" t="s">
        <v>1024</v>
      </c>
      <c r="B315" s="1">
        <v>56.0</v>
      </c>
      <c r="C315" s="1">
        <v>0.0</v>
      </c>
      <c r="D315" s="1">
        <v>0.0</v>
      </c>
      <c r="E315" s="1">
        <v>0.0</v>
      </c>
      <c r="F315" s="1">
        <v>0.0</v>
      </c>
    </row>
    <row r="316">
      <c r="A316" s="1" t="s">
        <v>191</v>
      </c>
      <c r="B316" s="1">
        <v>67.0</v>
      </c>
      <c r="C316" s="1">
        <v>0.0</v>
      </c>
      <c r="D316" s="1">
        <v>0.0</v>
      </c>
      <c r="E316" s="1">
        <v>0.0</v>
      </c>
      <c r="F316" s="1">
        <v>0.0</v>
      </c>
    </row>
    <row r="317">
      <c r="A317" s="1" t="s">
        <v>859</v>
      </c>
      <c r="B317" s="1">
        <v>18.0</v>
      </c>
      <c r="C317" s="1">
        <v>0.0</v>
      </c>
      <c r="D317" s="1">
        <v>0.0</v>
      </c>
      <c r="E317" s="1">
        <v>0.0</v>
      </c>
      <c r="F317" s="1">
        <v>0.0</v>
      </c>
    </row>
    <row r="318">
      <c r="A318" s="1" t="s">
        <v>2003</v>
      </c>
      <c r="B318" s="1">
        <v>389.0</v>
      </c>
      <c r="C318" s="1">
        <v>1.0</v>
      </c>
      <c r="D318" s="1">
        <v>0.0</v>
      </c>
      <c r="E318" s="1">
        <v>0.0</v>
      </c>
      <c r="F318" s="1">
        <v>0.0</v>
      </c>
    </row>
    <row r="319">
      <c r="A319" s="1" t="s">
        <v>658</v>
      </c>
      <c r="B319" s="1">
        <v>10.0</v>
      </c>
      <c r="C319" s="1">
        <v>0.0</v>
      </c>
      <c r="D319" s="1">
        <v>0.0</v>
      </c>
      <c r="E319" s="1">
        <v>0.0</v>
      </c>
      <c r="F319" s="1">
        <v>0.0</v>
      </c>
    </row>
    <row r="320">
      <c r="A320" s="1" t="s">
        <v>1934</v>
      </c>
      <c r="B320" s="1">
        <v>15.0</v>
      </c>
      <c r="C320" s="1">
        <v>0.0</v>
      </c>
      <c r="D320" s="1">
        <v>0.0</v>
      </c>
      <c r="E320" s="1">
        <v>0.0</v>
      </c>
      <c r="F320" s="1">
        <v>0.0</v>
      </c>
    </row>
    <row r="321">
      <c r="A321" s="1" t="s">
        <v>1945</v>
      </c>
      <c r="B321" s="1">
        <v>16.0</v>
      </c>
      <c r="C321" s="1">
        <v>0.0</v>
      </c>
      <c r="D321" s="1">
        <v>0.0</v>
      </c>
      <c r="E321" s="1">
        <v>0.0</v>
      </c>
      <c r="F321" s="1">
        <v>0.0</v>
      </c>
    </row>
    <row r="322">
      <c r="A322" s="1" t="s">
        <v>1546</v>
      </c>
      <c r="B322" s="1">
        <v>90.0</v>
      </c>
      <c r="C322" s="1">
        <v>0.0</v>
      </c>
      <c r="D322" s="1">
        <v>0.0</v>
      </c>
      <c r="E322" s="1">
        <v>0.0</v>
      </c>
      <c r="F322" s="1">
        <v>0.0</v>
      </c>
    </row>
    <row r="323">
      <c r="A323" s="1" t="s">
        <v>802</v>
      </c>
      <c r="B323" s="1">
        <v>23.0</v>
      </c>
      <c r="C323" s="1">
        <v>0.0</v>
      </c>
      <c r="D323" s="1">
        <v>0.0</v>
      </c>
      <c r="E323" s="1">
        <v>0.0</v>
      </c>
      <c r="F323" s="1">
        <v>0.0</v>
      </c>
    </row>
    <row r="324">
      <c r="A324" s="1" t="s">
        <v>1567</v>
      </c>
      <c r="B324" s="1">
        <v>16.0</v>
      </c>
      <c r="C324" s="1">
        <v>0.0</v>
      </c>
      <c r="D324" s="1">
        <v>0.0</v>
      </c>
      <c r="E324" s="1">
        <v>0.0</v>
      </c>
      <c r="F324" s="1">
        <v>0.0</v>
      </c>
    </row>
    <row r="325">
      <c r="A325" s="1" t="s">
        <v>237</v>
      </c>
      <c r="B325" s="1">
        <v>8.0</v>
      </c>
      <c r="C325" s="1">
        <v>0.0</v>
      </c>
      <c r="D325" s="1">
        <v>0.0</v>
      </c>
      <c r="E325" s="1">
        <v>0.0</v>
      </c>
      <c r="F325" s="1">
        <v>0.0</v>
      </c>
    </row>
    <row r="326">
      <c r="A326" s="1" t="s">
        <v>1033</v>
      </c>
      <c r="B326" s="1">
        <v>27.0</v>
      </c>
      <c r="C326" s="1">
        <v>0.0</v>
      </c>
      <c r="D326" s="1">
        <v>0.0</v>
      </c>
      <c r="E326" s="1">
        <v>0.0</v>
      </c>
      <c r="F326" s="1">
        <v>0.0</v>
      </c>
    </row>
    <row r="327">
      <c r="A327" s="1" t="s">
        <v>1031</v>
      </c>
      <c r="B327" s="1">
        <v>187.0</v>
      </c>
      <c r="C327" s="1">
        <v>0.0</v>
      </c>
      <c r="D327" s="1">
        <v>0.0</v>
      </c>
      <c r="E327" s="1">
        <v>0.0</v>
      </c>
      <c r="F327" s="1">
        <v>0.0</v>
      </c>
    </row>
    <row r="328">
      <c r="A328" s="1" t="s">
        <v>604</v>
      </c>
      <c r="B328" s="1">
        <v>203.0</v>
      </c>
      <c r="C328" s="1">
        <v>2.0</v>
      </c>
      <c r="D328" s="1">
        <v>0.0</v>
      </c>
      <c r="E328" s="1">
        <v>0.0</v>
      </c>
      <c r="F328" s="1">
        <v>0.0</v>
      </c>
    </row>
    <row r="329">
      <c r="A329" s="1" t="s">
        <v>1916</v>
      </c>
      <c r="B329" s="1">
        <v>16.0</v>
      </c>
      <c r="C329" s="1">
        <v>0.0</v>
      </c>
      <c r="D329" s="1">
        <v>0.0</v>
      </c>
      <c r="E329" s="1">
        <v>0.0</v>
      </c>
      <c r="F329" s="1">
        <v>0.0</v>
      </c>
    </row>
    <row r="330">
      <c r="A330" s="1" t="s">
        <v>1490</v>
      </c>
      <c r="B330" s="1">
        <v>32.0</v>
      </c>
      <c r="C330" s="1">
        <v>0.0</v>
      </c>
      <c r="D330" s="1">
        <v>0.0</v>
      </c>
      <c r="E330" s="1">
        <v>0.0</v>
      </c>
      <c r="F330" s="1">
        <v>0.0</v>
      </c>
    </row>
    <row r="331">
      <c r="A331" s="1" t="s">
        <v>1452</v>
      </c>
      <c r="B331" s="1">
        <v>42.0</v>
      </c>
      <c r="C331" s="1">
        <v>0.0</v>
      </c>
      <c r="D331" s="1">
        <v>0.0</v>
      </c>
      <c r="E331" s="1">
        <v>0.0</v>
      </c>
      <c r="F331" s="1">
        <v>0.0</v>
      </c>
    </row>
    <row r="332">
      <c r="A332" s="1" t="s">
        <v>546</v>
      </c>
      <c r="B332" s="1">
        <v>30.0</v>
      </c>
      <c r="C332" s="1">
        <v>0.0</v>
      </c>
      <c r="D332" s="1">
        <v>0.0</v>
      </c>
      <c r="E332" s="1">
        <v>0.0</v>
      </c>
      <c r="F332" s="1">
        <v>0.0</v>
      </c>
    </row>
    <row r="333">
      <c r="A333" s="1" t="s">
        <v>1831</v>
      </c>
      <c r="B333" s="1">
        <v>15.0</v>
      </c>
      <c r="C333" s="1">
        <v>0.0</v>
      </c>
      <c r="D333" s="1">
        <v>0.0</v>
      </c>
      <c r="E333" s="1">
        <v>0.0</v>
      </c>
      <c r="F333" s="1">
        <v>0.0</v>
      </c>
    </row>
    <row r="334">
      <c r="A334" s="1" t="s">
        <v>1281</v>
      </c>
      <c r="B334" s="1">
        <v>26.0</v>
      </c>
      <c r="C334" s="1">
        <v>0.0</v>
      </c>
      <c r="D334" s="1">
        <v>0.0</v>
      </c>
      <c r="E334" s="1">
        <v>0.0</v>
      </c>
      <c r="F334" s="1">
        <v>0.0</v>
      </c>
    </row>
    <row r="335">
      <c r="A335" s="1" t="s">
        <v>1554</v>
      </c>
      <c r="B335" s="1">
        <v>12.0</v>
      </c>
      <c r="C335" s="1">
        <v>0.0</v>
      </c>
      <c r="D335" s="1">
        <v>0.0</v>
      </c>
      <c r="E335" s="1">
        <v>0.0</v>
      </c>
      <c r="F335" s="1">
        <v>0.0</v>
      </c>
    </row>
    <row r="336">
      <c r="A336" s="1" t="s">
        <v>1003</v>
      </c>
      <c r="B336" s="1">
        <v>38.0</v>
      </c>
      <c r="C336" s="1">
        <v>0.0</v>
      </c>
      <c r="D336" s="1">
        <v>0.0</v>
      </c>
      <c r="E336" s="1">
        <v>0.0</v>
      </c>
      <c r="F336" s="1">
        <v>0.0</v>
      </c>
    </row>
    <row r="337">
      <c r="A337" s="1" t="s">
        <v>1129</v>
      </c>
      <c r="B337" s="1">
        <v>15.0</v>
      </c>
      <c r="C337" s="1">
        <v>0.0</v>
      </c>
      <c r="D337" s="1">
        <v>0.0</v>
      </c>
      <c r="E337" s="1">
        <v>0.0</v>
      </c>
      <c r="F337" s="1">
        <v>0.0</v>
      </c>
    </row>
    <row r="338">
      <c r="A338" s="1" t="s">
        <v>860</v>
      </c>
      <c r="B338" s="1">
        <v>128.0</v>
      </c>
      <c r="C338" s="1">
        <v>0.0</v>
      </c>
      <c r="D338" s="1">
        <v>0.0</v>
      </c>
      <c r="E338" s="1">
        <v>0.0</v>
      </c>
      <c r="F338" s="1">
        <v>0.0</v>
      </c>
    </row>
    <row r="339">
      <c r="A339" s="1" t="s">
        <v>1400</v>
      </c>
      <c r="B339" s="1">
        <v>18.0</v>
      </c>
      <c r="C339" s="1">
        <v>0.0</v>
      </c>
      <c r="D339" s="1">
        <v>0.0</v>
      </c>
      <c r="E339" s="1">
        <v>0.0</v>
      </c>
      <c r="F339" s="1">
        <v>0.0</v>
      </c>
    </row>
    <row r="340">
      <c r="A340" s="1" t="s">
        <v>1785</v>
      </c>
      <c r="B340" s="1">
        <v>12.0</v>
      </c>
      <c r="C340" s="1">
        <v>0.0</v>
      </c>
      <c r="D340" s="1">
        <v>0.0</v>
      </c>
      <c r="E340" s="1">
        <v>0.0</v>
      </c>
      <c r="F340" s="1">
        <v>0.0</v>
      </c>
    </row>
    <row r="341">
      <c r="A341" s="1" t="s">
        <v>1091</v>
      </c>
      <c r="B341" s="1">
        <v>35.0</v>
      </c>
      <c r="C341" s="1">
        <v>0.0</v>
      </c>
      <c r="D341" s="1">
        <v>0.0</v>
      </c>
      <c r="E341" s="1">
        <v>0.0</v>
      </c>
      <c r="F341" s="1">
        <v>0.0</v>
      </c>
    </row>
    <row r="342">
      <c r="A342" s="1" t="s">
        <v>1276</v>
      </c>
      <c r="B342" s="1">
        <v>5.0</v>
      </c>
      <c r="C342" s="1">
        <v>0.0</v>
      </c>
      <c r="D342" s="1">
        <v>0.0</v>
      </c>
      <c r="E342" s="1">
        <v>0.0</v>
      </c>
      <c r="F342" s="1">
        <v>0.0</v>
      </c>
    </row>
    <row r="343">
      <c r="A343" s="1" t="s">
        <v>1708</v>
      </c>
      <c r="B343" s="1">
        <v>32.0</v>
      </c>
      <c r="C343" s="1">
        <v>0.0</v>
      </c>
      <c r="D343" s="1">
        <v>0.0</v>
      </c>
      <c r="E343" s="1">
        <v>0.0</v>
      </c>
      <c r="F343" s="1">
        <v>0.0</v>
      </c>
    </row>
    <row r="344">
      <c r="A344" s="1" t="s">
        <v>1240</v>
      </c>
      <c r="B344" s="1">
        <v>14.0</v>
      </c>
      <c r="C344" s="1">
        <v>0.0</v>
      </c>
      <c r="D344" s="1">
        <v>0.0</v>
      </c>
      <c r="E344" s="1">
        <v>0.0</v>
      </c>
      <c r="F344" s="1">
        <v>0.0</v>
      </c>
    </row>
    <row r="345">
      <c r="A345" s="1" t="s">
        <v>1327</v>
      </c>
      <c r="B345" s="1">
        <v>121.0</v>
      </c>
      <c r="C345" s="1">
        <v>0.0</v>
      </c>
      <c r="D345" s="1">
        <v>0.0</v>
      </c>
      <c r="E345" s="1">
        <v>0.0</v>
      </c>
      <c r="F345" s="1">
        <v>0.0</v>
      </c>
    </row>
    <row r="346">
      <c r="A346" s="1" t="s">
        <v>768</v>
      </c>
      <c r="B346" s="1">
        <v>11.0</v>
      </c>
      <c r="C346" s="1">
        <v>0.0</v>
      </c>
      <c r="D346" s="1">
        <v>0.0</v>
      </c>
      <c r="E346" s="1">
        <v>0.0</v>
      </c>
      <c r="F346" s="1">
        <v>0.0</v>
      </c>
    </row>
    <row r="347">
      <c r="A347" s="1" t="s">
        <v>1727</v>
      </c>
      <c r="B347" s="1">
        <v>43.0</v>
      </c>
      <c r="C347" s="1">
        <v>0.0</v>
      </c>
      <c r="D347" s="1">
        <v>0.0</v>
      </c>
      <c r="E347" s="1">
        <v>0.0</v>
      </c>
      <c r="F347" s="1">
        <v>0.0</v>
      </c>
    </row>
    <row r="348">
      <c r="A348" s="1" t="s">
        <v>1151</v>
      </c>
      <c r="B348" s="1">
        <v>38.0</v>
      </c>
      <c r="C348" s="1">
        <v>0.0</v>
      </c>
      <c r="D348" s="1">
        <v>0.0</v>
      </c>
      <c r="E348" s="1">
        <v>0.0</v>
      </c>
      <c r="F348" s="1">
        <v>0.0</v>
      </c>
    </row>
    <row r="349">
      <c r="A349" s="1" t="s">
        <v>1360</v>
      </c>
      <c r="B349" s="1">
        <v>110.0</v>
      </c>
      <c r="C349" s="1">
        <v>0.0</v>
      </c>
      <c r="D349" s="1">
        <v>0.0</v>
      </c>
      <c r="E349" s="1">
        <v>0.0</v>
      </c>
      <c r="F349" s="1">
        <v>0.0</v>
      </c>
    </row>
    <row r="350">
      <c r="A350" s="1" t="s">
        <v>437</v>
      </c>
      <c r="B350" s="1">
        <v>5.0</v>
      </c>
      <c r="C350" s="1">
        <v>0.0</v>
      </c>
      <c r="D350" s="1">
        <v>0.0</v>
      </c>
      <c r="E350" s="1">
        <v>0.0</v>
      </c>
      <c r="F350" s="1">
        <v>0.0</v>
      </c>
    </row>
    <row r="351">
      <c r="A351" s="1" t="s">
        <v>1048</v>
      </c>
      <c r="B351" s="1">
        <v>8.0</v>
      </c>
      <c r="C351" s="1">
        <v>0.0</v>
      </c>
      <c r="D351" s="1">
        <v>0.0</v>
      </c>
      <c r="E351" s="1">
        <v>0.0</v>
      </c>
      <c r="F351" s="1">
        <v>0.0</v>
      </c>
    </row>
    <row r="352">
      <c r="A352" s="1" t="s">
        <v>1163</v>
      </c>
      <c r="B352" s="1">
        <v>69.0</v>
      </c>
      <c r="C352" s="1">
        <v>0.0</v>
      </c>
      <c r="D352" s="1">
        <v>0.0</v>
      </c>
      <c r="E352" s="1">
        <v>0.0</v>
      </c>
      <c r="F352" s="1">
        <v>0.0</v>
      </c>
    </row>
    <row r="353">
      <c r="A353" s="1" t="s">
        <v>1859</v>
      </c>
      <c r="B353" s="1">
        <v>57.0</v>
      </c>
      <c r="C353" s="1">
        <v>0.0</v>
      </c>
      <c r="D353" s="1">
        <v>0.0</v>
      </c>
      <c r="E353" s="1">
        <v>0.0</v>
      </c>
      <c r="F353" s="1">
        <v>0.0</v>
      </c>
    </row>
    <row r="354">
      <c r="A354" s="1" t="s">
        <v>1948</v>
      </c>
      <c r="B354" s="1">
        <v>110.0</v>
      </c>
      <c r="C354" s="1">
        <v>0.0</v>
      </c>
      <c r="D354" s="1">
        <v>0.0</v>
      </c>
      <c r="E354" s="1">
        <v>0.0</v>
      </c>
      <c r="F354" s="1">
        <v>0.0</v>
      </c>
    </row>
    <row r="355">
      <c r="A355" s="1" t="s">
        <v>980</v>
      </c>
      <c r="B355" s="1">
        <v>37.0</v>
      </c>
      <c r="C355" s="1">
        <v>0.0</v>
      </c>
      <c r="D355" s="1">
        <v>0.0</v>
      </c>
      <c r="E355" s="1">
        <v>0.0</v>
      </c>
      <c r="F355" s="1">
        <v>0.0</v>
      </c>
    </row>
    <row r="356">
      <c r="A356" s="1" t="s">
        <v>2061</v>
      </c>
      <c r="B356" s="1">
        <v>42.0</v>
      </c>
      <c r="C356" s="1">
        <v>0.0</v>
      </c>
      <c r="D356" s="1">
        <v>0.0</v>
      </c>
      <c r="E356" s="1">
        <v>0.0</v>
      </c>
      <c r="F356" s="1">
        <v>0.0</v>
      </c>
    </row>
    <row r="357">
      <c r="A357" s="1" t="s">
        <v>933</v>
      </c>
      <c r="B357" s="1">
        <v>36.0</v>
      </c>
      <c r="C357" s="1">
        <v>0.0</v>
      </c>
      <c r="D357" s="1">
        <v>0.0</v>
      </c>
      <c r="E357" s="1">
        <v>0.0</v>
      </c>
      <c r="F357" s="1">
        <v>0.0</v>
      </c>
    </row>
    <row r="358">
      <c r="A358" s="1" t="s">
        <v>2071</v>
      </c>
      <c r="B358" s="1">
        <v>52.0</v>
      </c>
      <c r="C358" s="1">
        <v>0.0</v>
      </c>
      <c r="D358" s="1">
        <v>0.0</v>
      </c>
      <c r="E358" s="1">
        <v>0.0</v>
      </c>
      <c r="F358" s="1">
        <v>0.0</v>
      </c>
    </row>
    <row r="359">
      <c r="A359" s="1" t="s">
        <v>649</v>
      </c>
      <c r="B359" s="1">
        <v>30.0</v>
      </c>
      <c r="C359" s="1">
        <v>0.0</v>
      </c>
      <c r="D359" s="1">
        <v>0.0</v>
      </c>
      <c r="E359" s="1">
        <v>0.0</v>
      </c>
      <c r="F359" s="1">
        <v>0.0</v>
      </c>
    </row>
    <row r="360">
      <c r="A360" s="1" t="s">
        <v>624</v>
      </c>
      <c r="B360" s="1">
        <v>40.0</v>
      </c>
      <c r="C360" s="1">
        <v>0.0</v>
      </c>
      <c r="D360" s="1">
        <v>0.0</v>
      </c>
      <c r="E360" s="1">
        <v>0.0</v>
      </c>
      <c r="F360" s="1">
        <v>0.0</v>
      </c>
    </row>
    <row r="361">
      <c r="A361" s="1" t="s">
        <v>1990</v>
      </c>
      <c r="B361" s="1">
        <v>17.0</v>
      </c>
      <c r="C361" s="1">
        <v>0.0</v>
      </c>
      <c r="D361" s="1">
        <v>0.0</v>
      </c>
      <c r="E361" s="1">
        <v>0.0</v>
      </c>
      <c r="F361" s="1">
        <v>0.0</v>
      </c>
    </row>
    <row r="362">
      <c r="A362" s="1" t="s">
        <v>254</v>
      </c>
      <c r="B362" s="1">
        <v>37.0</v>
      </c>
      <c r="C362" s="1">
        <v>0.0</v>
      </c>
      <c r="D362" s="1">
        <v>0.0</v>
      </c>
      <c r="E362" s="1">
        <v>0.0</v>
      </c>
      <c r="F362" s="1">
        <v>0.0</v>
      </c>
    </row>
    <row r="363">
      <c r="A363" s="1" t="s">
        <v>1843</v>
      </c>
      <c r="B363" s="1">
        <v>58.0</v>
      </c>
      <c r="C363" s="1">
        <v>0.0</v>
      </c>
      <c r="D363" s="1">
        <v>0.0</v>
      </c>
      <c r="E363" s="1">
        <v>0.0</v>
      </c>
      <c r="F363" s="1">
        <v>0.0</v>
      </c>
    </row>
    <row r="364">
      <c r="A364" s="1" t="s">
        <v>418</v>
      </c>
      <c r="B364" s="1">
        <v>7.0</v>
      </c>
      <c r="C364" s="1">
        <v>0.0</v>
      </c>
      <c r="D364" s="1">
        <v>0.0</v>
      </c>
      <c r="E364" s="1">
        <v>0.0</v>
      </c>
      <c r="F364" s="1">
        <v>0.0</v>
      </c>
    </row>
    <row r="365">
      <c r="A365" s="1" t="s">
        <v>707</v>
      </c>
      <c r="B365" s="1">
        <v>20.0</v>
      </c>
      <c r="C365" s="1">
        <v>0.0</v>
      </c>
      <c r="D365" s="1">
        <v>0.0</v>
      </c>
      <c r="E365" s="1">
        <v>0.0</v>
      </c>
      <c r="F365" s="1">
        <v>0.0</v>
      </c>
    </row>
    <row r="366">
      <c r="A366" s="1" t="s">
        <v>188</v>
      </c>
      <c r="B366" s="1">
        <v>86.0</v>
      </c>
      <c r="C366" s="1">
        <v>0.0</v>
      </c>
      <c r="D366" s="1">
        <v>0.0</v>
      </c>
      <c r="E366" s="1">
        <v>0.0</v>
      </c>
      <c r="F366" s="1">
        <v>0.0</v>
      </c>
    </row>
    <row r="367">
      <c r="A367" s="1" t="s">
        <v>253</v>
      </c>
      <c r="B367" s="1">
        <v>48.0</v>
      </c>
      <c r="C367" s="1">
        <v>0.0</v>
      </c>
      <c r="D367" s="1">
        <v>0.0</v>
      </c>
      <c r="E367" s="1">
        <v>0.0</v>
      </c>
      <c r="F367" s="1">
        <v>0.0</v>
      </c>
    </row>
    <row r="368">
      <c r="A368" s="1" t="s">
        <v>1909</v>
      </c>
      <c r="B368" s="1">
        <v>96.0</v>
      </c>
      <c r="C368" s="1">
        <v>0.0</v>
      </c>
      <c r="D368" s="1">
        <v>0.0</v>
      </c>
      <c r="E368" s="1">
        <v>0.0</v>
      </c>
      <c r="F368" s="1">
        <v>0.0</v>
      </c>
    </row>
    <row r="369">
      <c r="A369" s="1" t="s">
        <v>2041</v>
      </c>
      <c r="B369" s="1">
        <v>214.0</v>
      </c>
      <c r="C369" s="1">
        <v>1.0</v>
      </c>
      <c r="D369" s="1">
        <v>0.0</v>
      </c>
      <c r="E369" s="1">
        <v>0.0</v>
      </c>
      <c r="F369" s="1">
        <v>0.0</v>
      </c>
    </row>
    <row r="370">
      <c r="A370" s="1" t="s">
        <v>998</v>
      </c>
      <c r="B370" s="1">
        <v>17.0</v>
      </c>
      <c r="C370" s="1">
        <v>0.0</v>
      </c>
      <c r="D370" s="1">
        <v>0.0</v>
      </c>
      <c r="E370" s="1">
        <v>0.0</v>
      </c>
      <c r="F370" s="1">
        <v>0.0</v>
      </c>
    </row>
    <row r="371">
      <c r="A371" s="1" t="s">
        <v>1730</v>
      </c>
      <c r="B371" s="1">
        <v>29.0</v>
      </c>
      <c r="C371" s="1">
        <v>0.0</v>
      </c>
      <c r="D371" s="1">
        <v>0.0</v>
      </c>
      <c r="E371" s="1">
        <v>0.0</v>
      </c>
      <c r="F371" s="1">
        <v>0.0</v>
      </c>
    </row>
    <row r="372">
      <c r="A372" s="1" t="s">
        <v>1519</v>
      </c>
      <c r="B372" s="1">
        <v>20.0</v>
      </c>
      <c r="C372" s="1">
        <v>0.0</v>
      </c>
      <c r="D372" s="1">
        <v>0.0</v>
      </c>
      <c r="E372" s="1">
        <v>0.0</v>
      </c>
      <c r="F372" s="1">
        <v>0.0</v>
      </c>
    </row>
    <row r="373">
      <c r="A373" s="1" t="s">
        <v>1673</v>
      </c>
      <c r="B373" s="1">
        <v>79.0</v>
      </c>
      <c r="C373" s="1">
        <v>0.0</v>
      </c>
      <c r="D373" s="1">
        <v>0.0</v>
      </c>
      <c r="E373" s="1">
        <v>0.0</v>
      </c>
      <c r="F373" s="1">
        <v>0.0</v>
      </c>
    </row>
    <row r="374">
      <c r="A374" s="1" t="s">
        <v>756</v>
      </c>
      <c r="B374" s="1">
        <v>65.0</v>
      </c>
      <c r="C374" s="1">
        <v>0.0</v>
      </c>
      <c r="D374" s="1">
        <v>0.0</v>
      </c>
      <c r="E374" s="1">
        <v>0.0</v>
      </c>
      <c r="F374" s="1">
        <v>0.0</v>
      </c>
    </row>
    <row r="375">
      <c r="A375" s="1" t="s">
        <v>329</v>
      </c>
      <c r="B375" s="1">
        <v>21.0</v>
      </c>
      <c r="C375" s="1">
        <v>0.0</v>
      </c>
      <c r="D375" s="1">
        <v>0.0</v>
      </c>
      <c r="E375" s="1">
        <v>0.0</v>
      </c>
      <c r="F375" s="1">
        <v>0.0</v>
      </c>
    </row>
    <row r="376">
      <c r="A376" s="1" t="s">
        <v>1594</v>
      </c>
      <c r="B376" s="1">
        <v>83.0</v>
      </c>
      <c r="C376" s="1">
        <v>0.0</v>
      </c>
      <c r="D376" s="1">
        <v>0.0</v>
      </c>
      <c r="E376" s="1">
        <v>0.0</v>
      </c>
      <c r="F376" s="1">
        <v>0.0</v>
      </c>
    </row>
    <row r="377">
      <c r="A377" s="1" t="s">
        <v>1426</v>
      </c>
      <c r="B377" s="1">
        <v>10.0</v>
      </c>
      <c r="C377" s="1">
        <v>0.0</v>
      </c>
      <c r="D377" s="1">
        <v>0.0</v>
      </c>
      <c r="E377" s="1">
        <v>0.0</v>
      </c>
      <c r="F377" s="1">
        <v>0.0</v>
      </c>
    </row>
    <row r="378">
      <c r="A378" s="1" t="s">
        <v>1515</v>
      </c>
      <c r="B378" s="1">
        <v>26.0</v>
      </c>
      <c r="C378" s="1">
        <v>0.0</v>
      </c>
      <c r="D378" s="1">
        <v>0.0</v>
      </c>
      <c r="E378" s="1">
        <v>0.0</v>
      </c>
      <c r="F378" s="1">
        <v>0.0</v>
      </c>
    </row>
    <row r="379">
      <c r="A379" s="1" t="s">
        <v>1861</v>
      </c>
      <c r="B379" s="1">
        <v>23.0</v>
      </c>
      <c r="C379" s="1">
        <v>0.0</v>
      </c>
      <c r="D379" s="1">
        <v>0.0</v>
      </c>
      <c r="E379" s="1">
        <v>0.0</v>
      </c>
      <c r="F379" s="1">
        <v>0.0</v>
      </c>
    </row>
    <row r="380">
      <c r="A380" s="1" t="s">
        <v>791</v>
      </c>
      <c r="B380" s="1">
        <v>29.0</v>
      </c>
      <c r="C380" s="1">
        <v>0.0</v>
      </c>
      <c r="D380" s="1">
        <v>0.0</v>
      </c>
      <c r="E380" s="1">
        <v>0.0</v>
      </c>
      <c r="F380" s="1">
        <v>0.0</v>
      </c>
    </row>
    <row r="381">
      <c r="A381" s="1" t="s">
        <v>1004</v>
      </c>
      <c r="B381" s="1">
        <v>63.0</v>
      </c>
      <c r="C381" s="1">
        <v>0.0</v>
      </c>
      <c r="D381" s="1">
        <v>0.0</v>
      </c>
      <c r="E381" s="1">
        <v>0.0</v>
      </c>
      <c r="F381" s="1">
        <v>0.0</v>
      </c>
    </row>
    <row r="382">
      <c r="A382" s="1" t="s">
        <v>349</v>
      </c>
      <c r="B382" s="1">
        <v>270.0</v>
      </c>
      <c r="C382" s="1">
        <v>0.0</v>
      </c>
      <c r="D382" s="1">
        <v>0.0</v>
      </c>
      <c r="E382" s="1">
        <v>0.0</v>
      </c>
      <c r="F382" s="1">
        <v>0.0</v>
      </c>
    </row>
    <row r="383">
      <c r="A383" s="1" t="s">
        <v>1058</v>
      </c>
      <c r="B383" s="1">
        <v>34.0</v>
      </c>
      <c r="C383" s="1">
        <v>0.0</v>
      </c>
      <c r="D383" s="1">
        <v>0.0</v>
      </c>
      <c r="E383" s="1">
        <v>0.0</v>
      </c>
      <c r="F383" s="1">
        <v>0.0</v>
      </c>
    </row>
    <row r="384">
      <c r="A384" s="1" t="s">
        <v>538</v>
      </c>
      <c r="B384" s="1">
        <v>118.0</v>
      </c>
      <c r="C384" s="1">
        <v>1.0</v>
      </c>
      <c r="D384" s="1">
        <v>0.0</v>
      </c>
      <c r="E384" s="1">
        <v>0.0</v>
      </c>
      <c r="F384" s="1">
        <v>0.0</v>
      </c>
    </row>
    <row r="385">
      <c r="A385" s="1" t="s">
        <v>2009</v>
      </c>
      <c r="B385" s="1">
        <v>7.0</v>
      </c>
      <c r="C385" s="1">
        <v>0.0</v>
      </c>
      <c r="D385" s="1">
        <v>0.0</v>
      </c>
      <c r="E385" s="1">
        <v>0.0</v>
      </c>
      <c r="F385" s="1">
        <v>0.0</v>
      </c>
    </row>
    <row r="386">
      <c r="A386" s="1" t="s">
        <v>1535</v>
      </c>
      <c r="B386" s="1">
        <v>73.0</v>
      </c>
      <c r="C386" s="1">
        <v>0.0</v>
      </c>
      <c r="D386" s="1">
        <v>0.0</v>
      </c>
      <c r="E386" s="1">
        <v>0.0</v>
      </c>
      <c r="F386" s="1">
        <v>0.0</v>
      </c>
    </row>
    <row r="387">
      <c r="A387" s="1" t="s">
        <v>1195</v>
      </c>
      <c r="B387" s="1">
        <v>64.0</v>
      </c>
      <c r="C387" s="1">
        <v>0.0</v>
      </c>
      <c r="D387" s="1">
        <v>0.0</v>
      </c>
      <c r="E387" s="1">
        <v>0.0</v>
      </c>
      <c r="F387" s="1">
        <v>0.0</v>
      </c>
    </row>
    <row r="388">
      <c r="A388" s="1" t="s">
        <v>1278</v>
      </c>
      <c r="B388" s="1">
        <v>7.0</v>
      </c>
      <c r="C388" s="1">
        <v>0.0</v>
      </c>
      <c r="D388" s="1">
        <v>0.0</v>
      </c>
      <c r="E388" s="1">
        <v>0.0</v>
      </c>
      <c r="F388" s="1">
        <v>0.0</v>
      </c>
    </row>
    <row r="389">
      <c r="A389" s="1" t="s">
        <v>1503</v>
      </c>
      <c r="B389" s="1">
        <v>61.0</v>
      </c>
      <c r="C389" s="1">
        <v>0.0</v>
      </c>
      <c r="D389" s="1">
        <v>0.0</v>
      </c>
      <c r="E389" s="1">
        <v>0.0</v>
      </c>
      <c r="F389" s="1">
        <v>0.0</v>
      </c>
    </row>
    <row r="390">
      <c r="A390" s="1" t="s">
        <v>304</v>
      </c>
      <c r="B390" s="1">
        <v>21.0</v>
      </c>
      <c r="C390" s="1">
        <v>0.0</v>
      </c>
      <c r="D390" s="1">
        <v>0.0</v>
      </c>
      <c r="E390" s="1">
        <v>0.0</v>
      </c>
      <c r="F390" s="1">
        <v>0.0</v>
      </c>
    </row>
    <row r="391">
      <c r="A391" s="1" t="s">
        <v>1178</v>
      </c>
      <c r="B391" s="1">
        <v>21.0</v>
      </c>
      <c r="C391" s="1">
        <v>0.0</v>
      </c>
      <c r="D391" s="1">
        <v>0.0</v>
      </c>
      <c r="E391" s="1">
        <v>0.0</v>
      </c>
      <c r="F391" s="1">
        <v>0.0</v>
      </c>
    </row>
    <row r="392">
      <c r="A392" s="1" t="s">
        <v>1411</v>
      </c>
      <c r="B392" s="1">
        <v>20.0</v>
      </c>
      <c r="C392" s="1">
        <v>0.0</v>
      </c>
      <c r="D392" s="1">
        <v>0.0</v>
      </c>
      <c r="E392" s="1">
        <v>0.0</v>
      </c>
      <c r="F392" s="1">
        <v>0.0</v>
      </c>
    </row>
    <row r="393">
      <c r="A393" s="1" t="s">
        <v>574</v>
      </c>
      <c r="B393" s="1">
        <v>23.0</v>
      </c>
      <c r="C393" s="1">
        <v>0.0</v>
      </c>
      <c r="D393" s="1">
        <v>0.0</v>
      </c>
      <c r="E393" s="1">
        <v>0.0</v>
      </c>
      <c r="F393" s="1">
        <v>0.0</v>
      </c>
    </row>
    <row r="394">
      <c r="A394" s="1" t="s">
        <v>417</v>
      </c>
      <c r="B394" s="1">
        <v>24.0</v>
      </c>
      <c r="C394" s="1">
        <v>0.0</v>
      </c>
      <c r="D394" s="1">
        <v>0.0</v>
      </c>
      <c r="E394" s="1">
        <v>0.0</v>
      </c>
      <c r="F394" s="1">
        <v>0.0</v>
      </c>
    </row>
    <row r="395">
      <c r="A395" s="1" t="s">
        <v>1774</v>
      </c>
      <c r="B395" s="1">
        <v>43.0</v>
      </c>
      <c r="C395" s="1">
        <v>0.0</v>
      </c>
      <c r="D395" s="1">
        <v>0.0</v>
      </c>
      <c r="E395" s="1">
        <v>0.0</v>
      </c>
      <c r="F395" s="1">
        <v>0.0</v>
      </c>
    </row>
    <row r="396">
      <c r="A396" s="1" t="s">
        <v>398</v>
      </c>
      <c r="B396" s="1">
        <v>63.0</v>
      </c>
      <c r="C396" s="1">
        <v>0.0</v>
      </c>
      <c r="D396" s="1">
        <v>0.0</v>
      </c>
      <c r="E396" s="1">
        <v>0.0</v>
      </c>
      <c r="F396" s="1">
        <v>0.0</v>
      </c>
    </row>
    <row r="397">
      <c r="A397" s="1" t="s">
        <v>363</v>
      </c>
      <c r="B397" s="1">
        <v>66.0</v>
      </c>
      <c r="C397" s="1">
        <v>0.0</v>
      </c>
      <c r="D397" s="1">
        <v>0.0</v>
      </c>
      <c r="E397" s="1">
        <v>0.0</v>
      </c>
      <c r="F397" s="1">
        <v>0.0</v>
      </c>
    </row>
    <row r="398">
      <c r="A398" s="1" t="s">
        <v>585</v>
      </c>
      <c r="B398" s="1">
        <v>28.0</v>
      </c>
      <c r="C398" s="1">
        <v>0.0</v>
      </c>
      <c r="D398" s="1">
        <v>0.0</v>
      </c>
      <c r="E398" s="1">
        <v>0.0</v>
      </c>
      <c r="F398" s="1">
        <v>0.0</v>
      </c>
    </row>
    <row r="399">
      <c r="A399" s="1" t="s">
        <v>281</v>
      </c>
      <c r="B399" s="1">
        <v>23.0</v>
      </c>
      <c r="C399" s="1">
        <v>0.0</v>
      </c>
      <c r="D399" s="1">
        <v>0.0</v>
      </c>
      <c r="E399" s="1">
        <v>0.0</v>
      </c>
      <c r="F399" s="1">
        <v>0.0</v>
      </c>
    </row>
    <row r="400">
      <c r="A400" s="1" t="s">
        <v>370</v>
      </c>
      <c r="B400" s="1">
        <v>3.0</v>
      </c>
      <c r="C400" s="1">
        <v>0.0</v>
      </c>
      <c r="D400" s="1">
        <v>0.0</v>
      </c>
      <c r="E400" s="1">
        <v>0.0</v>
      </c>
      <c r="F400" s="1">
        <v>0.0</v>
      </c>
    </row>
    <row r="401">
      <c r="A401" s="1" t="s">
        <v>674</v>
      </c>
      <c r="B401" s="1">
        <v>2886.0</v>
      </c>
      <c r="C401" s="1">
        <v>3.0</v>
      </c>
      <c r="D401" s="1">
        <v>2.0</v>
      </c>
      <c r="E401" s="1">
        <v>2.0</v>
      </c>
      <c r="F401" s="1">
        <v>2.0</v>
      </c>
    </row>
    <row r="402">
      <c r="A402" s="1" t="s">
        <v>1100</v>
      </c>
      <c r="B402" s="1">
        <v>93.0</v>
      </c>
      <c r="C402" s="1">
        <v>0.0</v>
      </c>
      <c r="D402" s="1">
        <v>0.0</v>
      </c>
      <c r="E402" s="1">
        <v>0.0</v>
      </c>
      <c r="F402" s="1">
        <v>0.0</v>
      </c>
    </row>
    <row r="403">
      <c r="A403" s="1" t="s">
        <v>1319</v>
      </c>
      <c r="B403" s="1">
        <v>35.0</v>
      </c>
      <c r="C403" s="1">
        <v>0.0</v>
      </c>
      <c r="D403" s="1">
        <v>0.0</v>
      </c>
      <c r="E403" s="1">
        <v>0.0</v>
      </c>
      <c r="F403" s="1">
        <v>0.0</v>
      </c>
    </row>
    <row r="404">
      <c r="A404" s="1" t="s">
        <v>579</v>
      </c>
      <c r="B404" s="1">
        <v>87.0</v>
      </c>
      <c r="C404" s="1">
        <v>0.0</v>
      </c>
      <c r="D404" s="1">
        <v>0.0</v>
      </c>
      <c r="E404" s="1">
        <v>0.0</v>
      </c>
      <c r="F404" s="1">
        <v>0.0</v>
      </c>
    </row>
    <row r="405">
      <c r="A405" s="1" t="s">
        <v>685</v>
      </c>
      <c r="B405" s="1">
        <v>36.0</v>
      </c>
      <c r="C405" s="1">
        <v>0.0</v>
      </c>
      <c r="D405" s="1">
        <v>0.0</v>
      </c>
      <c r="E405" s="1">
        <v>0.0</v>
      </c>
      <c r="F405" s="1">
        <v>0.0</v>
      </c>
    </row>
    <row r="406">
      <c r="A406" s="1" t="s">
        <v>545</v>
      </c>
      <c r="B406" s="1">
        <v>26.0</v>
      </c>
      <c r="C406" s="1">
        <v>0.0</v>
      </c>
      <c r="D406" s="1">
        <v>0.0</v>
      </c>
      <c r="E406" s="1">
        <v>0.0</v>
      </c>
      <c r="F406" s="1">
        <v>0.0</v>
      </c>
    </row>
    <row r="407">
      <c r="A407" s="1" t="s">
        <v>1947</v>
      </c>
      <c r="B407" s="1">
        <v>13.0</v>
      </c>
      <c r="C407" s="1">
        <v>0.0</v>
      </c>
      <c r="D407" s="1">
        <v>0.0</v>
      </c>
      <c r="E407" s="1">
        <v>0.0</v>
      </c>
      <c r="F407" s="1">
        <v>0.0</v>
      </c>
    </row>
    <row r="408">
      <c r="A408" s="1" t="s">
        <v>703</v>
      </c>
      <c r="B408" s="1">
        <v>135.0</v>
      </c>
      <c r="C408" s="1">
        <v>0.0</v>
      </c>
      <c r="D408" s="1">
        <v>0.0</v>
      </c>
      <c r="E408" s="1">
        <v>0.0</v>
      </c>
      <c r="F408" s="1">
        <v>0.0</v>
      </c>
    </row>
    <row r="409">
      <c r="A409" s="1" t="s">
        <v>2052</v>
      </c>
      <c r="B409" s="1">
        <v>4.0</v>
      </c>
      <c r="C409" s="1">
        <v>0.0</v>
      </c>
      <c r="D409" s="1">
        <v>0.0</v>
      </c>
      <c r="E409" s="1">
        <v>0.0</v>
      </c>
      <c r="F409" s="1">
        <v>0.0</v>
      </c>
    </row>
    <row r="410">
      <c r="A410" s="1" t="s">
        <v>1694</v>
      </c>
      <c r="B410" s="1">
        <v>27.0</v>
      </c>
      <c r="C410" s="1">
        <v>0.0</v>
      </c>
      <c r="D410" s="1">
        <v>0.0</v>
      </c>
      <c r="E410" s="1">
        <v>0.0</v>
      </c>
      <c r="F410" s="1">
        <v>0.0</v>
      </c>
    </row>
    <row r="411">
      <c r="A411" s="1" t="s">
        <v>1109</v>
      </c>
      <c r="B411" s="1">
        <v>191.0</v>
      </c>
      <c r="C411" s="1">
        <v>1.0</v>
      </c>
      <c r="D411" s="1">
        <v>0.0</v>
      </c>
      <c r="E411" s="1">
        <v>0.0</v>
      </c>
      <c r="F411" s="1">
        <v>0.0</v>
      </c>
    </row>
    <row r="412">
      <c r="A412" s="1" t="s">
        <v>1897</v>
      </c>
      <c r="B412" s="1">
        <v>38.0</v>
      </c>
      <c r="C412" s="1">
        <v>0.0</v>
      </c>
      <c r="D412" s="1">
        <v>0.0</v>
      </c>
      <c r="E412" s="1">
        <v>0.0</v>
      </c>
      <c r="F412" s="1">
        <v>0.0</v>
      </c>
    </row>
    <row r="413">
      <c r="A413" s="1" t="s">
        <v>931</v>
      </c>
      <c r="B413" s="1">
        <v>21.0</v>
      </c>
      <c r="C413" s="1">
        <v>0.0</v>
      </c>
      <c r="D413" s="1">
        <v>0.0</v>
      </c>
      <c r="E413" s="1">
        <v>0.0</v>
      </c>
      <c r="F413" s="1">
        <v>0.0</v>
      </c>
    </row>
    <row r="414">
      <c r="A414" s="1" t="s">
        <v>1302</v>
      </c>
      <c r="B414" s="1">
        <v>21.0</v>
      </c>
      <c r="C414" s="1">
        <v>0.0</v>
      </c>
      <c r="D414" s="1">
        <v>0.0</v>
      </c>
      <c r="E414" s="1">
        <v>0.0</v>
      </c>
      <c r="F414" s="1">
        <v>0.0</v>
      </c>
    </row>
    <row r="415">
      <c r="A415" s="1" t="s">
        <v>1528</v>
      </c>
      <c r="B415" s="1">
        <v>15.0</v>
      </c>
      <c r="C415" s="1">
        <v>0.0</v>
      </c>
      <c r="D415" s="1">
        <v>0.0</v>
      </c>
      <c r="E415" s="1">
        <v>0.0</v>
      </c>
      <c r="F415" s="1">
        <v>0.0</v>
      </c>
    </row>
    <row r="416">
      <c r="A416" s="1" t="s">
        <v>2016</v>
      </c>
      <c r="B416" s="1">
        <v>40.0</v>
      </c>
      <c r="C416" s="1">
        <v>0.0</v>
      </c>
      <c r="D416" s="1">
        <v>0.0</v>
      </c>
      <c r="E416" s="1">
        <v>0.0</v>
      </c>
      <c r="F416" s="1">
        <v>0.0</v>
      </c>
    </row>
    <row r="417">
      <c r="A417" s="1" t="s">
        <v>1587</v>
      </c>
      <c r="B417" s="1">
        <v>29.0</v>
      </c>
      <c r="C417" s="1">
        <v>0.0</v>
      </c>
      <c r="D417" s="1">
        <v>0.0</v>
      </c>
      <c r="E417" s="1">
        <v>0.0</v>
      </c>
      <c r="F417" s="1">
        <v>0.0</v>
      </c>
    </row>
    <row r="418">
      <c r="A418" s="1" t="s">
        <v>904</v>
      </c>
      <c r="B418" s="1">
        <v>29.0</v>
      </c>
      <c r="C418" s="1">
        <v>0.0</v>
      </c>
      <c r="D418" s="1">
        <v>0.0</v>
      </c>
      <c r="E418" s="1">
        <v>0.0</v>
      </c>
      <c r="F418" s="1">
        <v>0.0</v>
      </c>
    </row>
    <row r="419">
      <c r="A419" s="1" t="s">
        <v>1619</v>
      </c>
      <c r="B419" s="1">
        <v>21.0</v>
      </c>
      <c r="C419" s="1">
        <v>0.0</v>
      </c>
      <c r="D419" s="1">
        <v>0.0</v>
      </c>
      <c r="E419" s="1">
        <v>0.0</v>
      </c>
      <c r="F419" s="1">
        <v>0.0</v>
      </c>
    </row>
    <row r="420">
      <c r="A420" s="1" t="s">
        <v>2079</v>
      </c>
      <c r="B420" s="1">
        <v>26.0</v>
      </c>
      <c r="C420" s="1">
        <v>0.0</v>
      </c>
      <c r="D420" s="1">
        <v>0.0</v>
      </c>
      <c r="E420" s="1">
        <v>0.0</v>
      </c>
      <c r="F420" s="1">
        <v>0.0</v>
      </c>
    </row>
    <row r="421">
      <c r="A421" s="1" t="s">
        <v>1034</v>
      </c>
      <c r="B421" s="1">
        <v>15.0</v>
      </c>
      <c r="C421" s="1">
        <v>0.0</v>
      </c>
      <c r="D421" s="1">
        <v>0.0</v>
      </c>
      <c r="E421" s="1">
        <v>0.0</v>
      </c>
      <c r="F421" s="1">
        <v>0.0</v>
      </c>
    </row>
    <row r="422">
      <c r="A422" s="1" t="s">
        <v>2073</v>
      </c>
      <c r="B422" s="1">
        <v>210.0</v>
      </c>
      <c r="C422" s="1">
        <v>2.0</v>
      </c>
      <c r="D422" s="1">
        <v>0.0</v>
      </c>
      <c r="E422" s="1">
        <v>0.0</v>
      </c>
      <c r="F422" s="1">
        <v>0.0</v>
      </c>
    </row>
    <row r="423">
      <c r="A423" s="1" t="s">
        <v>1170</v>
      </c>
      <c r="B423" s="1">
        <v>35.0</v>
      </c>
      <c r="C423" s="1">
        <v>0.0</v>
      </c>
      <c r="D423" s="1">
        <v>0.0</v>
      </c>
      <c r="E423" s="1">
        <v>0.0</v>
      </c>
      <c r="F423" s="1">
        <v>0.0</v>
      </c>
    </row>
    <row r="424">
      <c r="A424" s="1" t="s">
        <v>1631</v>
      </c>
      <c r="B424" s="1">
        <v>4.0</v>
      </c>
      <c r="C424" s="1">
        <v>0.0</v>
      </c>
      <c r="D424" s="1">
        <v>0.0</v>
      </c>
      <c r="E424" s="1">
        <v>0.0</v>
      </c>
      <c r="F424" s="1">
        <v>0.0</v>
      </c>
    </row>
    <row r="425">
      <c r="A425" s="1" t="s">
        <v>716</v>
      </c>
      <c r="B425" s="1">
        <v>6.0</v>
      </c>
      <c r="C425" s="1">
        <v>0.0</v>
      </c>
      <c r="D425" s="1">
        <v>0.0</v>
      </c>
      <c r="E425" s="1">
        <v>0.0</v>
      </c>
      <c r="F425" s="1">
        <v>0.0</v>
      </c>
    </row>
    <row r="426">
      <c r="A426" s="1" t="s">
        <v>781</v>
      </c>
      <c r="B426" s="1">
        <v>58.0</v>
      </c>
      <c r="C426" s="1">
        <v>0.0</v>
      </c>
      <c r="D426" s="1">
        <v>0.0</v>
      </c>
      <c r="E426" s="1">
        <v>0.0</v>
      </c>
      <c r="F426" s="1">
        <v>0.0</v>
      </c>
    </row>
    <row r="427">
      <c r="A427" s="1" t="s">
        <v>749</v>
      </c>
      <c r="B427" s="1">
        <v>30.0</v>
      </c>
      <c r="C427" s="1">
        <v>0.0</v>
      </c>
      <c r="D427" s="1">
        <v>0.0</v>
      </c>
      <c r="E427" s="1">
        <v>0.0</v>
      </c>
      <c r="F427" s="1">
        <v>0.0</v>
      </c>
    </row>
    <row r="428">
      <c r="A428" s="1" t="s">
        <v>1069</v>
      </c>
      <c r="B428" s="1">
        <v>39.0</v>
      </c>
      <c r="C428" s="1">
        <v>0.0</v>
      </c>
      <c r="D428" s="1">
        <v>0.0</v>
      </c>
      <c r="E428" s="1">
        <v>0.0</v>
      </c>
      <c r="F428" s="1">
        <v>0.0</v>
      </c>
    </row>
    <row r="429">
      <c r="A429" s="1" t="s">
        <v>1760</v>
      </c>
      <c r="B429" s="1">
        <v>38.0</v>
      </c>
      <c r="C429" s="1">
        <v>0.0</v>
      </c>
      <c r="D429" s="1">
        <v>0.0</v>
      </c>
      <c r="E429" s="1">
        <v>0.0</v>
      </c>
      <c r="F429" s="1">
        <v>0.0</v>
      </c>
    </row>
    <row r="430">
      <c r="A430" s="1" t="s">
        <v>1895</v>
      </c>
      <c r="B430" s="1">
        <v>3.0</v>
      </c>
      <c r="C430" s="1">
        <v>0.0</v>
      </c>
      <c r="D430" s="1">
        <v>0.0</v>
      </c>
      <c r="E430" s="1">
        <v>0.0</v>
      </c>
      <c r="F430" s="1">
        <v>0.0</v>
      </c>
    </row>
    <row r="431">
      <c r="A431" s="1" t="s">
        <v>746</v>
      </c>
      <c r="B431" s="1">
        <v>35.0</v>
      </c>
      <c r="C431" s="1">
        <v>0.0</v>
      </c>
      <c r="D431" s="1">
        <v>0.0</v>
      </c>
      <c r="E431" s="1">
        <v>0.0</v>
      </c>
      <c r="F431" s="1">
        <v>0.0</v>
      </c>
    </row>
    <row r="432">
      <c r="A432" s="1" t="s">
        <v>1443</v>
      </c>
      <c r="B432" s="1">
        <v>23.0</v>
      </c>
      <c r="C432" s="1">
        <v>0.0</v>
      </c>
      <c r="D432" s="1">
        <v>0.0</v>
      </c>
      <c r="E432" s="1">
        <v>0.0</v>
      </c>
      <c r="F432" s="1">
        <v>0.0</v>
      </c>
    </row>
    <row r="433">
      <c r="A433" s="1" t="s">
        <v>2087</v>
      </c>
      <c r="B433" s="1">
        <v>6.0</v>
      </c>
      <c r="C433" s="1">
        <v>0.0</v>
      </c>
      <c r="D433" s="1">
        <v>0.0</v>
      </c>
      <c r="E433" s="1">
        <v>0.0</v>
      </c>
      <c r="F433" s="1">
        <v>0.0</v>
      </c>
    </row>
    <row r="434">
      <c r="A434" s="1" t="s">
        <v>1833</v>
      </c>
      <c r="B434" s="1">
        <v>4501.0</v>
      </c>
      <c r="C434" s="1">
        <v>2.0</v>
      </c>
      <c r="D434" s="1">
        <v>2.0</v>
      </c>
      <c r="E434" s="1">
        <v>2.0</v>
      </c>
      <c r="F434" s="1">
        <v>2.0</v>
      </c>
    </row>
    <row r="435">
      <c r="A435" s="1" t="s">
        <v>1941</v>
      </c>
      <c r="B435" s="1">
        <v>155.0</v>
      </c>
      <c r="C435" s="1">
        <v>1.0</v>
      </c>
      <c r="D435" s="1">
        <v>0.0</v>
      </c>
      <c r="E435" s="1">
        <v>0.0</v>
      </c>
      <c r="F435" s="1">
        <v>0.0</v>
      </c>
    </row>
    <row r="436">
      <c r="A436" s="1" t="s">
        <v>814</v>
      </c>
      <c r="B436" s="1">
        <v>692.0</v>
      </c>
      <c r="C436" s="1">
        <v>11.0</v>
      </c>
      <c r="D436" s="1">
        <v>0.0</v>
      </c>
      <c r="E436" s="1">
        <v>1.0</v>
      </c>
      <c r="F436" s="1">
        <v>0.0</v>
      </c>
    </row>
    <row r="437">
      <c r="A437" s="1" t="s">
        <v>1944</v>
      </c>
      <c r="B437" s="1">
        <v>22.0</v>
      </c>
      <c r="C437" s="1">
        <v>0.0</v>
      </c>
      <c r="D437" s="1">
        <v>0.0</v>
      </c>
      <c r="E437" s="1">
        <v>0.0</v>
      </c>
      <c r="F437" s="1">
        <v>0.0</v>
      </c>
    </row>
    <row r="438">
      <c r="A438" s="1" t="s">
        <v>1370</v>
      </c>
      <c r="B438" s="1">
        <v>33.0</v>
      </c>
      <c r="C438" s="1">
        <v>0.0</v>
      </c>
      <c r="D438" s="1">
        <v>0.0</v>
      </c>
      <c r="E438" s="1">
        <v>0.0</v>
      </c>
      <c r="F438" s="1">
        <v>0.0</v>
      </c>
    </row>
    <row r="439">
      <c r="A439" s="1" t="s">
        <v>1820</v>
      </c>
      <c r="B439" s="1">
        <v>18.0</v>
      </c>
      <c r="C439" s="1">
        <v>0.0</v>
      </c>
      <c r="D439" s="1">
        <v>0.0</v>
      </c>
      <c r="E439" s="1">
        <v>0.0</v>
      </c>
      <c r="F439" s="1">
        <v>0.0</v>
      </c>
    </row>
    <row r="440">
      <c r="A440" s="1" t="s">
        <v>249</v>
      </c>
      <c r="B440" s="1">
        <v>18.0</v>
      </c>
      <c r="C440" s="1">
        <v>0.0</v>
      </c>
      <c r="D440" s="1">
        <v>0.0</v>
      </c>
      <c r="E440" s="1">
        <v>0.0</v>
      </c>
      <c r="F440" s="1">
        <v>0.0</v>
      </c>
    </row>
    <row r="441">
      <c r="A441" s="1" t="s">
        <v>1541</v>
      </c>
      <c r="B441" s="1">
        <v>130.0</v>
      </c>
      <c r="C441" s="1">
        <v>0.0</v>
      </c>
      <c r="D441" s="1">
        <v>0.0</v>
      </c>
      <c r="E441" s="1">
        <v>0.0</v>
      </c>
      <c r="F441" s="1">
        <v>0.0</v>
      </c>
    </row>
    <row r="442">
      <c r="A442" s="1" t="s">
        <v>1743</v>
      </c>
      <c r="B442" s="1">
        <v>28.0</v>
      </c>
      <c r="C442" s="1">
        <v>0.0</v>
      </c>
      <c r="D442" s="1">
        <v>0.0</v>
      </c>
      <c r="E442" s="1">
        <v>0.0</v>
      </c>
      <c r="F442" s="1">
        <v>0.0</v>
      </c>
    </row>
    <row r="443">
      <c r="A443" s="1" t="s">
        <v>246</v>
      </c>
      <c r="B443" s="1">
        <v>11.0</v>
      </c>
      <c r="C443" s="1">
        <v>0.0</v>
      </c>
      <c r="D443" s="1">
        <v>0.0</v>
      </c>
      <c r="E443" s="1">
        <v>0.0</v>
      </c>
      <c r="F443" s="1">
        <v>0.0</v>
      </c>
    </row>
    <row r="444">
      <c r="A444" s="1" t="s">
        <v>2010</v>
      </c>
      <c r="B444" s="1">
        <v>22.0</v>
      </c>
      <c r="C444" s="1">
        <v>0.0</v>
      </c>
      <c r="D444" s="1">
        <v>0.0</v>
      </c>
      <c r="E444" s="1">
        <v>0.0</v>
      </c>
      <c r="F444" s="1">
        <v>0.0</v>
      </c>
    </row>
    <row r="445">
      <c r="A445" s="1" t="s">
        <v>1926</v>
      </c>
      <c r="B445" s="1">
        <v>64.0</v>
      </c>
      <c r="C445" s="1">
        <v>0.0</v>
      </c>
      <c r="D445" s="1">
        <v>0.0</v>
      </c>
      <c r="E445" s="1">
        <v>0.0</v>
      </c>
      <c r="F445" s="1">
        <v>0.0</v>
      </c>
    </row>
    <row r="446">
      <c r="A446" s="1" t="s">
        <v>1818</v>
      </c>
      <c r="B446" s="1">
        <v>50.0</v>
      </c>
      <c r="C446" s="1">
        <v>0.0</v>
      </c>
      <c r="D446" s="1">
        <v>0.0</v>
      </c>
      <c r="E446" s="1">
        <v>0.0</v>
      </c>
      <c r="F446" s="1">
        <v>0.0</v>
      </c>
    </row>
    <row r="447">
      <c r="A447" s="1" t="s">
        <v>205</v>
      </c>
      <c r="B447" s="1">
        <v>50.0</v>
      </c>
      <c r="C447" s="1">
        <v>0.0</v>
      </c>
      <c r="D447" s="1">
        <v>0.0</v>
      </c>
      <c r="E447" s="1">
        <v>0.0</v>
      </c>
      <c r="F447" s="1">
        <v>0.0</v>
      </c>
    </row>
    <row r="448">
      <c r="A448" s="1" t="s">
        <v>2030</v>
      </c>
      <c r="B448" s="1">
        <v>68.0</v>
      </c>
      <c r="C448" s="1">
        <v>0.0</v>
      </c>
      <c r="D448" s="1">
        <v>0.0</v>
      </c>
      <c r="E448" s="1">
        <v>0.0</v>
      </c>
      <c r="F448" s="1">
        <v>0.0</v>
      </c>
    </row>
    <row r="449">
      <c r="A449" s="1" t="s">
        <v>794</v>
      </c>
      <c r="B449" s="1">
        <v>17.0</v>
      </c>
      <c r="C449" s="1">
        <v>0.0</v>
      </c>
      <c r="D449" s="1">
        <v>0.0</v>
      </c>
      <c r="E449" s="1">
        <v>0.0</v>
      </c>
      <c r="F449" s="1">
        <v>0.0</v>
      </c>
    </row>
    <row r="450">
      <c r="A450" s="1" t="s">
        <v>559</v>
      </c>
      <c r="B450" s="1">
        <v>56.0</v>
      </c>
      <c r="C450" s="1">
        <v>0.0</v>
      </c>
      <c r="D450" s="1">
        <v>0.0</v>
      </c>
      <c r="E450" s="1">
        <v>0.0</v>
      </c>
      <c r="F450" s="1">
        <v>0.0</v>
      </c>
    </row>
    <row r="451">
      <c r="A451" s="1" t="s">
        <v>1059</v>
      </c>
      <c r="B451" s="1">
        <v>165.0</v>
      </c>
      <c r="C451" s="1">
        <v>0.0</v>
      </c>
      <c r="D451" s="1">
        <v>0.0</v>
      </c>
      <c r="E451" s="1">
        <v>0.0</v>
      </c>
      <c r="F451" s="1">
        <v>0.0</v>
      </c>
    </row>
    <row r="452">
      <c r="A452" s="1" t="s">
        <v>2077</v>
      </c>
      <c r="B452" s="1">
        <v>38.0</v>
      </c>
      <c r="C452" s="1">
        <v>0.0</v>
      </c>
      <c r="D452" s="1">
        <v>0.0</v>
      </c>
      <c r="E452" s="1">
        <v>0.0</v>
      </c>
      <c r="F452" s="1">
        <v>0.0</v>
      </c>
    </row>
    <row r="453">
      <c r="A453" s="1" t="s">
        <v>1245</v>
      </c>
      <c r="B453" s="1">
        <v>23.0</v>
      </c>
      <c r="C453" s="1">
        <v>0.0</v>
      </c>
      <c r="D453" s="1">
        <v>0.0</v>
      </c>
      <c r="E453" s="1">
        <v>0.0</v>
      </c>
      <c r="F453" s="1">
        <v>0.0</v>
      </c>
    </row>
    <row r="454">
      <c r="A454" s="1" t="s">
        <v>288</v>
      </c>
      <c r="B454" s="1">
        <v>127.0</v>
      </c>
      <c r="C454" s="1">
        <v>0.0</v>
      </c>
      <c r="D454" s="1">
        <v>0.0</v>
      </c>
      <c r="E454" s="1">
        <v>0.0</v>
      </c>
      <c r="F454" s="1">
        <v>0.0</v>
      </c>
    </row>
    <row r="455">
      <c r="A455" s="1" t="s">
        <v>1420</v>
      </c>
      <c r="B455" s="1">
        <v>108.0</v>
      </c>
      <c r="C455" s="1">
        <v>0.0</v>
      </c>
      <c r="D455" s="1">
        <v>0.0</v>
      </c>
      <c r="E455" s="1">
        <v>0.0</v>
      </c>
      <c r="F455" s="1">
        <v>0.0</v>
      </c>
    </row>
    <row r="456">
      <c r="A456" s="1" t="s">
        <v>331</v>
      </c>
      <c r="B456" s="1">
        <v>22.0</v>
      </c>
      <c r="C456" s="1">
        <v>0.0</v>
      </c>
      <c r="D456" s="1">
        <v>0.0</v>
      </c>
      <c r="E456" s="1">
        <v>0.0</v>
      </c>
      <c r="F456" s="1">
        <v>0.0</v>
      </c>
    </row>
    <row r="457">
      <c r="A457" s="1" t="s">
        <v>211</v>
      </c>
      <c r="B457" s="1">
        <v>11.0</v>
      </c>
      <c r="C457" s="1">
        <v>0.0</v>
      </c>
      <c r="D457" s="1">
        <v>0.0</v>
      </c>
      <c r="E457" s="1">
        <v>0.0</v>
      </c>
      <c r="F457" s="1">
        <v>0.0</v>
      </c>
    </row>
    <row r="458">
      <c r="A458" s="1" t="s">
        <v>1783</v>
      </c>
      <c r="B458" s="1">
        <v>44.0</v>
      </c>
      <c r="C458" s="1">
        <v>0.0</v>
      </c>
      <c r="D458" s="1">
        <v>0.0</v>
      </c>
      <c r="E458" s="1">
        <v>0.0</v>
      </c>
      <c r="F458" s="1">
        <v>0.0</v>
      </c>
    </row>
    <row r="459">
      <c r="A459" s="1" t="s">
        <v>1087</v>
      </c>
      <c r="B459" s="1">
        <v>38.0</v>
      </c>
      <c r="C459" s="1">
        <v>0.0</v>
      </c>
      <c r="D459" s="1">
        <v>0.0</v>
      </c>
      <c r="E459" s="1">
        <v>0.0</v>
      </c>
      <c r="F459" s="1">
        <v>0.0</v>
      </c>
    </row>
    <row r="460">
      <c r="A460" s="1" t="s">
        <v>1501</v>
      </c>
      <c r="B460" s="1">
        <v>9.0</v>
      </c>
      <c r="C460" s="1">
        <v>0.0</v>
      </c>
      <c r="D460" s="1">
        <v>0.0</v>
      </c>
      <c r="E460" s="1">
        <v>0.0</v>
      </c>
      <c r="F460" s="1">
        <v>0.0</v>
      </c>
    </row>
    <row r="461">
      <c r="A461" s="1" t="s">
        <v>1423</v>
      </c>
      <c r="B461" s="1">
        <v>14.0</v>
      </c>
      <c r="C461" s="1">
        <v>0.0</v>
      </c>
      <c r="D461" s="1">
        <v>0.0</v>
      </c>
      <c r="E461" s="1">
        <v>0.0</v>
      </c>
      <c r="F461" s="1">
        <v>0.0</v>
      </c>
    </row>
    <row r="462">
      <c r="A462" s="1" t="s">
        <v>189</v>
      </c>
      <c r="B462" s="1">
        <v>10.0</v>
      </c>
      <c r="C462" s="1">
        <v>0.0</v>
      </c>
      <c r="D462" s="1">
        <v>0.0</v>
      </c>
      <c r="E462" s="1">
        <v>0.0</v>
      </c>
      <c r="F462" s="1">
        <v>0.0</v>
      </c>
    </row>
    <row r="463">
      <c r="A463" s="1" t="s">
        <v>1589</v>
      </c>
      <c r="B463" s="1">
        <v>29.0</v>
      </c>
      <c r="C463" s="1">
        <v>0.0</v>
      </c>
      <c r="D463" s="1">
        <v>0.0</v>
      </c>
      <c r="E463" s="1">
        <v>0.0</v>
      </c>
      <c r="F463" s="1">
        <v>0.0</v>
      </c>
    </row>
    <row r="464">
      <c r="A464" s="1" t="s">
        <v>1703</v>
      </c>
      <c r="B464" s="1">
        <v>7.0</v>
      </c>
      <c r="C464" s="1">
        <v>0.0</v>
      </c>
      <c r="D464" s="1">
        <v>0.0</v>
      </c>
      <c r="E464" s="1">
        <v>0.0</v>
      </c>
      <c r="F464" s="1">
        <v>0.0</v>
      </c>
    </row>
    <row r="465">
      <c r="A465" s="1" t="s">
        <v>509</v>
      </c>
      <c r="B465" s="1">
        <v>79.0</v>
      </c>
      <c r="C465" s="1">
        <v>0.0</v>
      </c>
      <c r="D465" s="1">
        <v>0.0</v>
      </c>
      <c r="E465" s="1">
        <v>0.0</v>
      </c>
      <c r="F465" s="1">
        <v>0.0</v>
      </c>
    </row>
    <row r="466">
      <c r="A466" s="1" t="s">
        <v>2093</v>
      </c>
      <c r="B466" s="1">
        <v>28.0</v>
      </c>
      <c r="C466" s="1">
        <v>0.0</v>
      </c>
      <c r="D466" s="1">
        <v>0.0</v>
      </c>
      <c r="E466" s="1">
        <v>0.0</v>
      </c>
      <c r="F466" s="1">
        <v>0.0</v>
      </c>
    </row>
    <row r="467">
      <c r="A467" s="1" t="s">
        <v>661</v>
      </c>
      <c r="B467" s="1">
        <v>26.0</v>
      </c>
      <c r="C467" s="1">
        <v>0.0</v>
      </c>
      <c r="D467" s="1">
        <v>0.0</v>
      </c>
      <c r="E467" s="1">
        <v>0.0</v>
      </c>
      <c r="F467" s="1">
        <v>0.0</v>
      </c>
    </row>
    <row r="468">
      <c r="A468" s="1" t="s">
        <v>660</v>
      </c>
      <c r="B468" s="1">
        <v>15.0</v>
      </c>
      <c r="C468" s="1">
        <v>0.0</v>
      </c>
      <c r="D468" s="1">
        <v>0.0</v>
      </c>
      <c r="E468" s="1">
        <v>0.0</v>
      </c>
      <c r="F468" s="1">
        <v>0.0</v>
      </c>
    </row>
    <row r="469">
      <c r="A469" s="1" t="s">
        <v>847</v>
      </c>
      <c r="B469" s="1">
        <v>30.0</v>
      </c>
      <c r="C469" s="1">
        <v>0.0</v>
      </c>
      <c r="D469" s="1">
        <v>0.0</v>
      </c>
      <c r="E469" s="1">
        <v>0.0</v>
      </c>
      <c r="F469" s="1">
        <v>0.0</v>
      </c>
    </row>
    <row r="470">
      <c r="A470" s="1" t="s">
        <v>628</v>
      </c>
      <c r="B470" s="1">
        <v>27.0</v>
      </c>
      <c r="C470" s="1">
        <v>0.0</v>
      </c>
      <c r="D470" s="1">
        <v>0.0</v>
      </c>
      <c r="E470" s="1">
        <v>0.0</v>
      </c>
      <c r="F470" s="1">
        <v>0.0</v>
      </c>
    </row>
    <row r="471">
      <c r="A471" s="1" t="s">
        <v>1887</v>
      </c>
      <c r="B471" s="1">
        <v>39.0</v>
      </c>
      <c r="C471" s="1">
        <v>0.0</v>
      </c>
      <c r="D471" s="1">
        <v>0.0</v>
      </c>
      <c r="E471" s="1">
        <v>0.0</v>
      </c>
      <c r="F471" s="1">
        <v>0.0</v>
      </c>
    </row>
    <row r="472">
      <c r="A472" s="1" t="s">
        <v>1320</v>
      </c>
      <c r="B472" s="1">
        <v>77.0</v>
      </c>
      <c r="C472" s="1">
        <v>0.0</v>
      </c>
      <c r="D472" s="1">
        <v>0.0</v>
      </c>
      <c r="E472" s="1">
        <v>0.0</v>
      </c>
      <c r="F472" s="1">
        <v>0.0</v>
      </c>
    </row>
    <row r="473">
      <c r="A473" s="1" t="s">
        <v>626</v>
      </c>
      <c r="B473" s="1">
        <v>39.0</v>
      </c>
      <c r="C473" s="1">
        <v>0.0</v>
      </c>
      <c r="D473" s="1">
        <v>0.0</v>
      </c>
      <c r="E473" s="1">
        <v>0.0</v>
      </c>
      <c r="F473" s="1">
        <v>0.0</v>
      </c>
    </row>
    <row r="474">
      <c r="A474" s="1" t="s">
        <v>347</v>
      </c>
      <c r="B474" s="1">
        <v>100.0</v>
      </c>
      <c r="C474" s="1">
        <v>0.0</v>
      </c>
      <c r="D474" s="1">
        <v>0.0</v>
      </c>
      <c r="E474" s="1">
        <v>0.0</v>
      </c>
      <c r="F474" s="1">
        <v>0.0</v>
      </c>
    </row>
    <row r="475">
      <c r="A475" s="1" t="s">
        <v>1029</v>
      </c>
      <c r="B475" s="1">
        <v>4.0</v>
      </c>
      <c r="C475" s="1">
        <v>0.0</v>
      </c>
      <c r="D475" s="1">
        <v>0.0</v>
      </c>
      <c r="E475" s="1">
        <v>0.0</v>
      </c>
      <c r="F475" s="1">
        <v>0.0</v>
      </c>
    </row>
    <row r="476">
      <c r="A476" s="1" t="s">
        <v>276</v>
      </c>
      <c r="B476" s="1">
        <v>4.0</v>
      </c>
      <c r="C476" s="1">
        <v>0.0</v>
      </c>
      <c r="D476" s="1">
        <v>0.0</v>
      </c>
      <c r="E476" s="1">
        <v>0.0</v>
      </c>
      <c r="F476" s="1">
        <v>0.0</v>
      </c>
    </row>
    <row r="477">
      <c r="A477" s="1" t="s">
        <v>1095</v>
      </c>
      <c r="B477" s="1">
        <v>59.0</v>
      </c>
      <c r="C477" s="1">
        <v>0.0</v>
      </c>
      <c r="D477" s="1">
        <v>0.0</v>
      </c>
      <c r="E477" s="1">
        <v>0.0</v>
      </c>
      <c r="F477" s="1">
        <v>0.0</v>
      </c>
    </row>
    <row r="478">
      <c r="A478" s="1" t="s">
        <v>312</v>
      </c>
      <c r="B478" s="1">
        <v>49.0</v>
      </c>
      <c r="C478" s="1">
        <v>0.0</v>
      </c>
      <c r="D478" s="1">
        <v>0.0</v>
      </c>
      <c r="E478" s="1">
        <v>0.0</v>
      </c>
      <c r="F478" s="1">
        <v>0.0</v>
      </c>
    </row>
    <row r="479">
      <c r="A479" s="1" t="s">
        <v>1505</v>
      </c>
      <c r="B479" s="1">
        <v>102.0</v>
      </c>
      <c r="C479" s="1">
        <v>0.0</v>
      </c>
      <c r="D479" s="1">
        <v>0.0</v>
      </c>
      <c r="E479" s="1">
        <v>0.0</v>
      </c>
      <c r="F479" s="1">
        <v>0.0</v>
      </c>
    </row>
    <row r="480">
      <c r="A480" s="1" t="s">
        <v>1369</v>
      </c>
      <c r="B480" s="1">
        <v>85.0</v>
      </c>
      <c r="C480" s="1">
        <v>0.0</v>
      </c>
      <c r="D480" s="1">
        <v>0.0</v>
      </c>
      <c r="E480" s="1">
        <v>0.0</v>
      </c>
      <c r="F480" s="1">
        <v>0.0</v>
      </c>
    </row>
    <row r="481">
      <c r="A481" s="1" t="s">
        <v>737</v>
      </c>
      <c r="B481" s="1">
        <v>7.0</v>
      </c>
      <c r="C481" s="1">
        <v>0.0</v>
      </c>
      <c r="D481" s="1">
        <v>0.0</v>
      </c>
      <c r="E481" s="1">
        <v>0.0</v>
      </c>
      <c r="F481" s="1">
        <v>0.0</v>
      </c>
    </row>
    <row r="482">
      <c r="A482" s="1" t="s">
        <v>1943</v>
      </c>
      <c r="B482" s="1">
        <v>38.0</v>
      </c>
      <c r="C482" s="1">
        <v>0.0</v>
      </c>
      <c r="D482" s="1">
        <v>0.0</v>
      </c>
      <c r="E482" s="1">
        <v>0.0</v>
      </c>
      <c r="F482" s="1">
        <v>0.0</v>
      </c>
    </row>
    <row r="483">
      <c r="A483" s="1" t="s">
        <v>1325</v>
      </c>
      <c r="B483" s="1">
        <v>96.0</v>
      </c>
      <c r="C483" s="1">
        <v>0.0</v>
      </c>
      <c r="D483" s="1">
        <v>0.0</v>
      </c>
      <c r="E483" s="1">
        <v>0.0</v>
      </c>
      <c r="F483" s="1">
        <v>0.0</v>
      </c>
    </row>
    <row r="484">
      <c r="A484" s="1" t="s">
        <v>724</v>
      </c>
      <c r="B484" s="1">
        <v>112.0</v>
      </c>
      <c r="C484" s="1">
        <v>0.0</v>
      </c>
      <c r="D484" s="1">
        <v>0.0</v>
      </c>
      <c r="E484" s="1">
        <v>0.0</v>
      </c>
      <c r="F484" s="1">
        <v>0.0</v>
      </c>
    </row>
    <row r="485">
      <c r="A485" s="1" t="s">
        <v>1923</v>
      </c>
      <c r="B485" s="1">
        <v>766.0</v>
      </c>
      <c r="C485" s="1">
        <v>0.0</v>
      </c>
      <c r="D485" s="1">
        <v>0.0</v>
      </c>
      <c r="E485" s="1">
        <v>0.0</v>
      </c>
      <c r="F485" s="1">
        <v>0.0</v>
      </c>
    </row>
    <row r="486">
      <c r="A486" s="1" t="s">
        <v>1581</v>
      </c>
      <c r="B486" s="1">
        <v>46.0</v>
      </c>
      <c r="C486" s="1">
        <v>0.0</v>
      </c>
      <c r="D486" s="1">
        <v>0.0</v>
      </c>
      <c r="E486" s="1">
        <v>0.0</v>
      </c>
      <c r="F486" s="1">
        <v>0.0</v>
      </c>
    </row>
    <row r="487">
      <c r="A487" s="1" t="s">
        <v>877</v>
      </c>
      <c r="B487" s="1">
        <v>17.0</v>
      </c>
      <c r="C487" s="1">
        <v>0.0</v>
      </c>
      <c r="D487" s="1">
        <v>0.0</v>
      </c>
      <c r="E487" s="1">
        <v>0.0</v>
      </c>
      <c r="F487" s="1">
        <v>0.0</v>
      </c>
    </row>
    <row r="488">
      <c r="A488" s="1" t="s">
        <v>1974</v>
      </c>
      <c r="B488" s="1">
        <v>10.0</v>
      </c>
      <c r="C488" s="1">
        <v>0.0</v>
      </c>
      <c r="D488" s="1">
        <v>0.0</v>
      </c>
      <c r="E488" s="1">
        <v>0.0</v>
      </c>
      <c r="F488" s="1">
        <v>0.0</v>
      </c>
    </row>
    <row r="489">
      <c r="A489" s="1" t="s">
        <v>673</v>
      </c>
      <c r="B489" s="1">
        <v>212.0</v>
      </c>
      <c r="C489" s="1">
        <v>0.0</v>
      </c>
      <c r="D489" s="1">
        <v>0.0</v>
      </c>
      <c r="E489" s="1">
        <v>0.0</v>
      </c>
      <c r="F489" s="1">
        <v>0.0</v>
      </c>
    </row>
    <row r="490">
      <c r="A490" s="1" t="s">
        <v>978</v>
      </c>
      <c r="B490" s="1">
        <v>418.0</v>
      </c>
      <c r="C490" s="1">
        <v>6.0</v>
      </c>
      <c r="D490" s="1">
        <v>0.0</v>
      </c>
      <c r="E490" s="1">
        <v>0.0</v>
      </c>
      <c r="F490" s="1">
        <v>0.0</v>
      </c>
    </row>
    <row r="491">
      <c r="A491" s="1" t="s">
        <v>1640</v>
      </c>
      <c r="B491" s="1">
        <v>99.0</v>
      </c>
      <c r="C491" s="1">
        <v>0.0</v>
      </c>
      <c r="D491" s="1">
        <v>0.0</v>
      </c>
      <c r="E491" s="1">
        <v>0.0</v>
      </c>
      <c r="F491" s="1">
        <v>0.0</v>
      </c>
    </row>
    <row r="492">
      <c r="A492" s="1" t="s">
        <v>1588</v>
      </c>
      <c r="B492" s="1">
        <v>12.0</v>
      </c>
      <c r="C492" s="1">
        <v>0.0</v>
      </c>
      <c r="D492" s="1">
        <v>0.0</v>
      </c>
      <c r="E492" s="1">
        <v>0.0</v>
      </c>
      <c r="F492" s="1">
        <v>0.0</v>
      </c>
    </row>
    <row r="493">
      <c r="A493" s="1" t="s">
        <v>1578</v>
      </c>
      <c r="B493" s="1">
        <v>155.0</v>
      </c>
      <c r="C493" s="1">
        <v>0.0</v>
      </c>
      <c r="D493" s="1">
        <v>0.0</v>
      </c>
      <c r="E493" s="1">
        <v>0.0</v>
      </c>
      <c r="F493" s="1">
        <v>0.0</v>
      </c>
    </row>
    <row r="494">
      <c r="A494" s="1" t="s">
        <v>1987</v>
      </c>
      <c r="B494" s="1">
        <v>43.0</v>
      </c>
      <c r="C494" s="1">
        <v>0.0</v>
      </c>
      <c r="D494" s="1">
        <v>0.0</v>
      </c>
      <c r="E494" s="1">
        <v>0.0</v>
      </c>
      <c r="F494" s="1">
        <v>0.0</v>
      </c>
    </row>
    <row r="495">
      <c r="A495" s="1" t="s">
        <v>1737</v>
      </c>
      <c r="B495" s="1">
        <v>5.0</v>
      </c>
      <c r="C495" s="1">
        <v>0.0</v>
      </c>
      <c r="D495" s="1">
        <v>0.0</v>
      </c>
      <c r="E495" s="1">
        <v>0.0</v>
      </c>
      <c r="F495" s="1">
        <v>0.0</v>
      </c>
    </row>
    <row r="496">
      <c r="A496" s="1" t="s">
        <v>854</v>
      </c>
      <c r="B496" s="1">
        <v>54.0</v>
      </c>
      <c r="C496" s="1">
        <v>0.0</v>
      </c>
      <c r="D496" s="1">
        <v>0.0</v>
      </c>
      <c r="E496" s="1">
        <v>0.0</v>
      </c>
      <c r="F496" s="1">
        <v>0.0</v>
      </c>
    </row>
    <row r="497">
      <c r="A497" s="1" t="s">
        <v>1068</v>
      </c>
      <c r="B497" s="1">
        <v>48.0</v>
      </c>
      <c r="C497" s="1">
        <v>0.0</v>
      </c>
      <c r="D497" s="1">
        <v>0.0</v>
      </c>
      <c r="E497" s="1">
        <v>0.0</v>
      </c>
      <c r="F497" s="1">
        <v>0.0</v>
      </c>
    </row>
    <row r="498">
      <c r="A498" s="1" t="s">
        <v>1270</v>
      </c>
      <c r="B498" s="1">
        <v>54.0</v>
      </c>
      <c r="C498" s="1">
        <v>0.0</v>
      </c>
      <c r="D498" s="1">
        <v>0.0</v>
      </c>
      <c r="E498" s="1">
        <v>0.0</v>
      </c>
      <c r="F498" s="1">
        <v>0.0</v>
      </c>
    </row>
    <row r="499">
      <c r="A499" s="1" t="s">
        <v>1829</v>
      </c>
      <c r="B499" s="1">
        <v>24.0</v>
      </c>
      <c r="C499" s="1">
        <v>0.0</v>
      </c>
      <c r="D499" s="1">
        <v>0.0</v>
      </c>
      <c r="E499" s="1">
        <v>0.0</v>
      </c>
      <c r="F499" s="1">
        <v>0.0</v>
      </c>
    </row>
    <row r="500">
      <c r="A500" s="1" t="s">
        <v>438</v>
      </c>
      <c r="B500" s="1">
        <v>5.0</v>
      </c>
      <c r="C500" s="1">
        <v>0.0</v>
      </c>
      <c r="D500" s="1">
        <v>0.0</v>
      </c>
      <c r="E500" s="1">
        <v>0.0</v>
      </c>
      <c r="F500" s="1">
        <v>0.0</v>
      </c>
    </row>
    <row r="501">
      <c r="A501" s="1" t="s">
        <v>918</v>
      </c>
      <c r="B501" s="1">
        <v>61.0</v>
      </c>
      <c r="C501" s="1">
        <v>0.0</v>
      </c>
      <c r="D501" s="1">
        <v>0.0</v>
      </c>
      <c r="E501" s="1">
        <v>0.0</v>
      </c>
      <c r="F501" s="1">
        <v>0.0</v>
      </c>
    </row>
    <row r="502">
      <c r="A502" s="1" t="s">
        <v>1969</v>
      </c>
      <c r="B502" s="1">
        <v>40.0</v>
      </c>
      <c r="C502" s="1">
        <v>0.0</v>
      </c>
      <c r="D502" s="1">
        <v>0.0</v>
      </c>
      <c r="E502" s="1">
        <v>0.0</v>
      </c>
      <c r="F502" s="1">
        <v>0.0</v>
      </c>
    </row>
    <row r="503">
      <c r="A503" s="1" t="s">
        <v>1485</v>
      </c>
      <c r="B503" s="1">
        <v>22.0</v>
      </c>
      <c r="C503" s="1">
        <v>0.0</v>
      </c>
      <c r="D503" s="1">
        <v>0.0</v>
      </c>
      <c r="E503" s="1">
        <v>0.0</v>
      </c>
      <c r="F503" s="1">
        <v>0.0</v>
      </c>
    </row>
    <row r="504">
      <c r="A504" s="1" t="s">
        <v>698</v>
      </c>
      <c r="B504" s="1">
        <v>33.0</v>
      </c>
      <c r="C504" s="1">
        <v>0.0</v>
      </c>
      <c r="D504" s="1">
        <v>0.0</v>
      </c>
      <c r="E504" s="1">
        <v>0.0</v>
      </c>
      <c r="F504" s="1">
        <v>0.0</v>
      </c>
    </row>
    <row r="505">
      <c r="A505" s="1" t="s">
        <v>1168</v>
      </c>
      <c r="B505" s="1">
        <v>95.0</v>
      </c>
      <c r="C505" s="1">
        <v>0.0</v>
      </c>
      <c r="D505" s="1">
        <v>0.0</v>
      </c>
      <c r="E505" s="1">
        <v>0.0</v>
      </c>
      <c r="F505" s="1">
        <v>0.0</v>
      </c>
    </row>
    <row r="506">
      <c r="A506" s="1" t="s">
        <v>1241</v>
      </c>
      <c r="B506" s="1">
        <v>35.0</v>
      </c>
      <c r="C506" s="1">
        <v>0.0</v>
      </c>
      <c r="D506" s="1">
        <v>0.0</v>
      </c>
      <c r="E506" s="1">
        <v>0.0</v>
      </c>
      <c r="F506" s="1">
        <v>0.0</v>
      </c>
    </row>
    <row r="507">
      <c r="A507" s="1" t="s">
        <v>696</v>
      </c>
      <c r="B507" s="1">
        <v>16.0</v>
      </c>
      <c r="C507" s="1">
        <v>0.0</v>
      </c>
      <c r="D507" s="1">
        <v>0.0</v>
      </c>
      <c r="E507" s="1">
        <v>0.0</v>
      </c>
      <c r="F507" s="1">
        <v>0.0</v>
      </c>
    </row>
    <row r="508">
      <c r="A508" s="1" t="s">
        <v>1970</v>
      </c>
      <c r="B508" s="1">
        <v>190.0</v>
      </c>
      <c r="C508" s="1">
        <v>1.0</v>
      </c>
      <c r="D508" s="1">
        <v>0.0</v>
      </c>
      <c r="E508" s="1">
        <v>0.0</v>
      </c>
      <c r="F508" s="1">
        <v>0.0</v>
      </c>
    </row>
    <row r="509">
      <c r="A509" s="1" t="s">
        <v>2024</v>
      </c>
      <c r="B509" s="1">
        <v>31.0</v>
      </c>
      <c r="C509" s="1">
        <v>0.0</v>
      </c>
      <c r="D509" s="1">
        <v>0.0</v>
      </c>
      <c r="E509" s="1">
        <v>0.0</v>
      </c>
      <c r="F509" s="1">
        <v>0.0</v>
      </c>
    </row>
    <row r="510">
      <c r="A510" s="1" t="s">
        <v>1293</v>
      </c>
      <c r="B510" s="1">
        <v>38.0</v>
      </c>
      <c r="C510" s="1">
        <v>0.0</v>
      </c>
      <c r="D510" s="1">
        <v>0.0</v>
      </c>
      <c r="E510" s="1">
        <v>0.0</v>
      </c>
      <c r="F510" s="1">
        <v>0.0</v>
      </c>
    </row>
    <row r="511">
      <c r="A511" s="1" t="s">
        <v>307</v>
      </c>
      <c r="B511" s="1">
        <v>29.0</v>
      </c>
      <c r="C511" s="1">
        <v>0.0</v>
      </c>
      <c r="D511" s="1">
        <v>0.0</v>
      </c>
      <c r="E511" s="1">
        <v>0.0</v>
      </c>
      <c r="F511" s="1">
        <v>0.0</v>
      </c>
    </row>
    <row r="512">
      <c r="A512" s="1" t="s">
        <v>855</v>
      </c>
      <c r="B512" s="1">
        <v>13.0</v>
      </c>
      <c r="C512" s="1">
        <v>0.0</v>
      </c>
      <c r="D512" s="1">
        <v>0.0</v>
      </c>
      <c r="E512" s="1">
        <v>0.0</v>
      </c>
      <c r="F512" s="1">
        <v>0.0</v>
      </c>
    </row>
    <row r="513">
      <c r="A513" s="1" t="s">
        <v>1662</v>
      </c>
      <c r="B513" s="1">
        <v>24.0</v>
      </c>
      <c r="C513" s="1">
        <v>0.0</v>
      </c>
      <c r="D513" s="1">
        <v>0.0</v>
      </c>
      <c r="E513" s="1">
        <v>0.0</v>
      </c>
      <c r="F513" s="1">
        <v>0.0</v>
      </c>
    </row>
    <row r="514">
      <c r="A514" s="1" t="s">
        <v>2074</v>
      </c>
      <c r="B514" s="1">
        <v>25.0</v>
      </c>
      <c r="C514" s="1">
        <v>0.0</v>
      </c>
      <c r="D514" s="1">
        <v>0.0</v>
      </c>
      <c r="E514" s="1">
        <v>0.0</v>
      </c>
      <c r="F514" s="1">
        <v>0.0</v>
      </c>
    </row>
    <row r="515">
      <c r="A515" s="1" t="s">
        <v>1732</v>
      </c>
      <c r="B515" s="1">
        <v>66.0</v>
      </c>
      <c r="C515" s="1">
        <v>0.0</v>
      </c>
      <c r="D515" s="1">
        <v>0.0</v>
      </c>
      <c r="E515" s="1">
        <v>0.0</v>
      </c>
      <c r="F515" s="1">
        <v>0.0</v>
      </c>
    </row>
    <row r="516">
      <c r="A516" s="1" t="s">
        <v>861</v>
      </c>
      <c r="B516" s="1">
        <v>54.0</v>
      </c>
      <c r="C516" s="1">
        <v>0.0</v>
      </c>
      <c r="D516" s="1">
        <v>0.0</v>
      </c>
      <c r="E516" s="1">
        <v>0.0</v>
      </c>
      <c r="F516" s="1">
        <v>0.0</v>
      </c>
    </row>
    <row r="517">
      <c r="A517" s="1" t="s">
        <v>1960</v>
      </c>
      <c r="B517" s="1">
        <v>15.0</v>
      </c>
      <c r="C517" s="1">
        <v>0.0</v>
      </c>
      <c r="D517" s="1">
        <v>0.0</v>
      </c>
      <c r="E517" s="1">
        <v>0.0</v>
      </c>
      <c r="F517" s="1">
        <v>0.0</v>
      </c>
    </row>
    <row r="518">
      <c r="A518" s="1" t="s">
        <v>1723</v>
      </c>
      <c r="B518" s="1">
        <v>75.0</v>
      </c>
      <c r="C518" s="1">
        <v>0.0</v>
      </c>
      <c r="D518" s="1">
        <v>0.0</v>
      </c>
      <c r="E518" s="1">
        <v>0.0</v>
      </c>
      <c r="F518" s="1">
        <v>0.0</v>
      </c>
    </row>
    <row r="519">
      <c r="A519" s="1" t="s">
        <v>1418</v>
      </c>
      <c r="B519" s="1">
        <v>38.0</v>
      </c>
      <c r="C519" s="1">
        <v>0.0</v>
      </c>
      <c r="D519" s="1">
        <v>0.0</v>
      </c>
      <c r="E519" s="1">
        <v>0.0</v>
      </c>
      <c r="F519" s="1">
        <v>0.0</v>
      </c>
    </row>
    <row r="520">
      <c r="A520" s="1" t="s">
        <v>599</v>
      </c>
      <c r="B520" s="1">
        <v>60.0</v>
      </c>
      <c r="C520" s="1">
        <v>0.0</v>
      </c>
      <c r="D520" s="1">
        <v>0.0</v>
      </c>
      <c r="E520" s="1">
        <v>0.0</v>
      </c>
      <c r="F520" s="1">
        <v>0.0</v>
      </c>
    </row>
    <row r="521">
      <c r="A521" s="1" t="s">
        <v>1772</v>
      </c>
      <c r="B521" s="1">
        <v>140.0</v>
      </c>
      <c r="C521" s="1">
        <v>1.0</v>
      </c>
      <c r="D521" s="1">
        <v>0.0</v>
      </c>
      <c r="E521" s="1">
        <v>0.0</v>
      </c>
      <c r="F521" s="1">
        <v>0.0</v>
      </c>
    </row>
    <row r="522">
      <c r="A522" s="1" t="s">
        <v>1234</v>
      </c>
      <c r="B522" s="1">
        <v>38.0</v>
      </c>
      <c r="C522" s="1">
        <v>0.0</v>
      </c>
      <c r="D522" s="1">
        <v>0.0</v>
      </c>
      <c r="E522" s="1">
        <v>0.0</v>
      </c>
      <c r="F522" s="1">
        <v>0.0</v>
      </c>
    </row>
    <row r="523">
      <c r="A523" s="1" t="s">
        <v>1222</v>
      </c>
      <c r="B523" s="1">
        <v>14.0</v>
      </c>
      <c r="C523" s="1">
        <v>0.0</v>
      </c>
      <c r="D523" s="1">
        <v>0.0</v>
      </c>
      <c r="E523" s="1">
        <v>0.0</v>
      </c>
      <c r="F523" s="1">
        <v>0.0</v>
      </c>
    </row>
    <row r="524">
      <c r="A524" s="1" t="s">
        <v>1349</v>
      </c>
      <c r="B524" s="1">
        <v>91.0</v>
      </c>
      <c r="C524" s="1">
        <v>0.0</v>
      </c>
      <c r="D524" s="1">
        <v>0.0</v>
      </c>
      <c r="E524" s="1">
        <v>0.0</v>
      </c>
      <c r="F524" s="1">
        <v>0.0</v>
      </c>
    </row>
    <row r="525">
      <c r="A525" s="1" t="s">
        <v>2042</v>
      </c>
      <c r="B525" s="1">
        <v>12.0</v>
      </c>
      <c r="C525" s="1">
        <v>0.0</v>
      </c>
      <c r="D525" s="1">
        <v>0.0</v>
      </c>
      <c r="E525" s="1">
        <v>0.0</v>
      </c>
      <c r="F525" s="1">
        <v>0.0</v>
      </c>
    </row>
    <row r="526">
      <c r="A526" s="1" t="s">
        <v>198</v>
      </c>
      <c r="B526" s="1">
        <v>25.0</v>
      </c>
      <c r="C526" s="1">
        <v>0.0</v>
      </c>
      <c r="D526" s="1">
        <v>0.0</v>
      </c>
      <c r="E526" s="1">
        <v>0.0</v>
      </c>
      <c r="F526" s="1">
        <v>0.0</v>
      </c>
    </row>
    <row r="527">
      <c r="A527" s="1" t="s">
        <v>1971</v>
      </c>
      <c r="B527" s="1">
        <v>51.0</v>
      </c>
      <c r="C527" s="1">
        <v>0.0</v>
      </c>
      <c r="D527" s="1">
        <v>0.0</v>
      </c>
      <c r="E527" s="1">
        <v>0.0</v>
      </c>
      <c r="F527" s="1">
        <v>0.0</v>
      </c>
    </row>
    <row r="528">
      <c r="A528" s="1" t="s">
        <v>390</v>
      </c>
      <c r="B528" s="1">
        <v>5.0</v>
      </c>
      <c r="C528" s="1">
        <v>0.0</v>
      </c>
      <c r="D528" s="1">
        <v>0.0</v>
      </c>
      <c r="E528" s="1">
        <v>0.0</v>
      </c>
      <c r="F528" s="1">
        <v>0.0</v>
      </c>
    </row>
    <row r="529">
      <c r="A529" s="1" t="s">
        <v>1742</v>
      </c>
      <c r="B529" s="1">
        <v>44.0</v>
      </c>
      <c r="C529" s="1">
        <v>0.0</v>
      </c>
      <c r="D529" s="1">
        <v>0.0</v>
      </c>
      <c r="E529" s="1">
        <v>0.0</v>
      </c>
      <c r="F529" s="1">
        <v>0.0</v>
      </c>
    </row>
    <row r="530">
      <c r="A530" s="1" t="s">
        <v>234</v>
      </c>
      <c r="B530" s="1">
        <v>71.0</v>
      </c>
      <c r="C530" s="1">
        <v>0.0</v>
      </c>
      <c r="D530" s="1">
        <v>0.0</v>
      </c>
      <c r="E530" s="1">
        <v>0.0</v>
      </c>
      <c r="F530" s="1">
        <v>0.0</v>
      </c>
    </row>
    <row r="531">
      <c r="A531" s="1" t="s">
        <v>1224</v>
      </c>
      <c r="B531" s="1">
        <v>63.0</v>
      </c>
      <c r="C531" s="1">
        <v>0.0</v>
      </c>
      <c r="D531" s="1">
        <v>0.0</v>
      </c>
      <c r="E531" s="1">
        <v>0.0</v>
      </c>
      <c r="F531" s="1">
        <v>0.0</v>
      </c>
    </row>
    <row r="532">
      <c r="A532" s="1" t="s">
        <v>1889</v>
      </c>
      <c r="B532" s="1">
        <v>12.0</v>
      </c>
      <c r="C532" s="1">
        <v>0.0</v>
      </c>
      <c r="D532" s="1">
        <v>0.0</v>
      </c>
      <c r="E532" s="1">
        <v>0.0</v>
      </c>
      <c r="F532" s="1">
        <v>0.0</v>
      </c>
    </row>
    <row r="533">
      <c r="A533" s="1" t="s">
        <v>259</v>
      </c>
      <c r="B533" s="1">
        <v>6.0</v>
      </c>
      <c r="C533" s="1">
        <v>0.0</v>
      </c>
      <c r="D533" s="1">
        <v>0.0</v>
      </c>
      <c r="E533" s="1">
        <v>0.0</v>
      </c>
      <c r="F533" s="1">
        <v>0.0</v>
      </c>
    </row>
    <row r="534">
      <c r="A534" s="1" t="s">
        <v>997</v>
      </c>
      <c r="B534" s="1">
        <v>60.0</v>
      </c>
      <c r="C534" s="1">
        <v>0.0</v>
      </c>
      <c r="D534" s="1">
        <v>0.0</v>
      </c>
      <c r="E534" s="1">
        <v>0.0</v>
      </c>
      <c r="F534" s="1">
        <v>0.0</v>
      </c>
    </row>
    <row r="535">
      <c r="A535" s="1" t="s">
        <v>857</v>
      </c>
      <c r="B535" s="1">
        <v>14.0</v>
      </c>
      <c r="C535" s="1">
        <v>0.0</v>
      </c>
      <c r="D535" s="1">
        <v>0.0</v>
      </c>
      <c r="E535" s="1">
        <v>0.0</v>
      </c>
      <c r="F535" s="1">
        <v>0.0</v>
      </c>
    </row>
    <row r="536">
      <c r="A536" s="1" t="s">
        <v>2083</v>
      </c>
      <c r="B536" s="1">
        <v>26.0</v>
      </c>
      <c r="C536" s="1">
        <v>0.0</v>
      </c>
      <c r="D536" s="1">
        <v>0.0</v>
      </c>
      <c r="E536" s="1">
        <v>0.0</v>
      </c>
      <c r="F536" s="1">
        <v>0.0</v>
      </c>
    </row>
    <row r="537">
      <c r="A537" s="1" t="s">
        <v>1660</v>
      </c>
      <c r="B537" s="1">
        <v>43.0</v>
      </c>
      <c r="C537" s="1">
        <v>0.0</v>
      </c>
      <c r="D537" s="1">
        <v>0.0</v>
      </c>
      <c r="E537" s="1">
        <v>0.0</v>
      </c>
      <c r="F537" s="1">
        <v>0.0</v>
      </c>
    </row>
    <row r="538">
      <c r="A538" s="1" t="s">
        <v>1139</v>
      </c>
      <c r="B538" s="1">
        <v>142.0</v>
      </c>
      <c r="C538" s="1">
        <v>0.0</v>
      </c>
      <c r="D538" s="1">
        <v>0.0</v>
      </c>
      <c r="E538" s="1">
        <v>0.0</v>
      </c>
      <c r="F538" s="1">
        <v>0.0</v>
      </c>
    </row>
    <row r="539">
      <c r="A539" s="1" t="s">
        <v>613</v>
      </c>
      <c r="B539" s="1">
        <v>72.0</v>
      </c>
      <c r="C539" s="1">
        <v>0.0</v>
      </c>
      <c r="D539" s="1">
        <v>0.0</v>
      </c>
      <c r="E539" s="1">
        <v>0.0</v>
      </c>
      <c r="F539" s="1">
        <v>0.0</v>
      </c>
    </row>
    <row r="540">
      <c r="A540" s="1" t="s">
        <v>352</v>
      </c>
      <c r="B540" s="1">
        <v>30.0</v>
      </c>
      <c r="C540" s="1">
        <v>0.0</v>
      </c>
      <c r="D540" s="1">
        <v>0.0</v>
      </c>
      <c r="E540" s="1">
        <v>0.0</v>
      </c>
      <c r="F540" s="1">
        <v>0.0</v>
      </c>
    </row>
    <row r="541">
      <c r="A541" s="1" t="s">
        <v>1795</v>
      </c>
      <c r="B541" s="1">
        <v>20.0</v>
      </c>
      <c r="C541" s="1">
        <v>0.0</v>
      </c>
      <c r="D541" s="1">
        <v>0.0</v>
      </c>
      <c r="E541" s="1">
        <v>0.0</v>
      </c>
      <c r="F541" s="1">
        <v>0.0</v>
      </c>
    </row>
    <row r="542">
      <c r="A542" s="1" t="s">
        <v>725</v>
      </c>
      <c r="B542" s="1">
        <v>37.0</v>
      </c>
      <c r="C542" s="1">
        <v>0.0</v>
      </c>
      <c r="D542" s="1">
        <v>0.0</v>
      </c>
      <c r="E542" s="1">
        <v>0.0</v>
      </c>
      <c r="F542" s="1">
        <v>0.0</v>
      </c>
    </row>
    <row r="543">
      <c r="A543" s="1" t="s">
        <v>1510</v>
      </c>
      <c r="B543" s="1">
        <v>25.0</v>
      </c>
      <c r="C543" s="1">
        <v>0.0</v>
      </c>
      <c r="D543" s="1">
        <v>0.0</v>
      </c>
      <c r="E543" s="1">
        <v>0.0</v>
      </c>
      <c r="F543" s="1">
        <v>0.0</v>
      </c>
    </row>
    <row r="544">
      <c r="A544" s="1" t="s">
        <v>788</v>
      </c>
      <c r="B544" s="1">
        <v>14.0</v>
      </c>
      <c r="C544" s="1">
        <v>0.0</v>
      </c>
      <c r="D544" s="1">
        <v>0.0</v>
      </c>
      <c r="E544" s="1">
        <v>0.0</v>
      </c>
      <c r="F544" s="1">
        <v>0.0</v>
      </c>
    </row>
    <row r="545">
      <c r="A545" s="1" t="s">
        <v>1221</v>
      </c>
      <c r="B545" s="1">
        <v>5.0</v>
      </c>
      <c r="C545" s="1">
        <v>0.0</v>
      </c>
      <c r="D545" s="1">
        <v>0.0</v>
      </c>
      <c r="E545" s="1">
        <v>0.0</v>
      </c>
      <c r="F545" s="1">
        <v>0.0</v>
      </c>
    </row>
    <row r="546">
      <c r="A546" s="1" t="s">
        <v>1053</v>
      </c>
      <c r="B546" s="1">
        <v>88.0</v>
      </c>
      <c r="C546" s="1">
        <v>0.0</v>
      </c>
      <c r="D546" s="1">
        <v>0.0</v>
      </c>
      <c r="E546" s="1">
        <v>0.0</v>
      </c>
      <c r="F546" s="1">
        <v>0.0</v>
      </c>
    </row>
    <row r="547">
      <c r="A547" s="1" t="s">
        <v>1658</v>
      </c>
      <c r="B547" s="1">
        <v>19.0</v>
      </c>
      <c r="C547" s="1">
        <v>0.0</v>
      </c>
      <c r="D547" s="1">
        <v>0.0</v>
      </c>
      <c r="E547" s="1">
        <v>0.0</v>
      </c>
      <c r="F547" s="1">
        <v>0.0</v>
      </c>
    </row>
    <row r="548">
      <c r="A548" s="1" t="s">
        <v>633</v>
      </c>
      <c r="B548" s="1">
        <v>32.0</v>
      </c>
      <c r="C548" s="1">
        <v>0.0</v>
      </c>
      <c r="D548" s="1">
        <v>0.0</v>
      </c>
      <c r="E548" s="1">
        <v>0.0</v>
      </c>
      <c r="F548" s="1">
        <v>0.0</v>
      </c>
    </row>
    <row r="549">
      <c r="A549" s="1" t="s">
        <v>1894</v>
      </c>
      <c r="B549" s="1">
        <v>40.0</v>
      </c>
      <c r="C549" s="1">
        <v>0.0</v>
      </c>
      <c r="D549" s="1">
        <v>0.0</v>
      </c>
      <c r="E549" s="1">
        <v>0.0</v>
      </c>
      <c r="F549" s="1">
        <v>0.0</v>
      </c>
    </row>
    <row r="550">
      <c r="A550" s="1" t="s">
        <v>215</v>
      </c>
      <c r="B550" s="1">
        <v>43.0</v>
      </c>
      <c r="C550" s="1">
        <v>0.0</v>
      </c>
      <c r="D550" s="1">
        <v>0.0</v>
      </c>
      <c r="E550" s="1">
        <v>0.0</v>
      </c>
      <c r="F550" s="1">
        <v>0.0</v>
      </c>
    </row>
    <row r="551">
      <c r="A551" s="1" t="s">
        <v>348</v>
      </c>
      <c r="B551" s="1">
        <v>38.0</v>
      </c>
      <c r="C551" s="1">
        <v>0.0</v>
      </c>
      <c r="D551" s="1">
        <v>0.0</v>
      </c>
      <c r="E551" s="1">
        <v>0.0</v>
      </c>
      <c r="F551" s="1">
        <v>0.0</v>
      </c>
    </row>
    <row r="552">
      <c r="A552" s="1" t="s">
        <v>1060</v>
      </c>
      <c r="B552" s="1">
        <v>94.0</v>
      </c>
      <c r="C552" s="1">
        <v>0.0</v>
      </c>
      <c r="D552" s="1">
        <v>0.0</v>
      </c>
      <c r="E552" s="1">
        <v>0.0</v>
      </c>
      <c r="F552" s="1">
        <v>0.0</v>
      </c>
    </row>
    <row r="553">
      <c r="A553" s="1" t="s">
        <v>1253</v>
      </c>
      <c r="B553" s="1">
        <v>23.0</v>
      </c>
      <c r="C553" s="1">
        <v>0.0</v>
      </c>
      <c r="D553" s="1">
        <v>0.0</v>
      </c>
      <c r="E553" s="1">
        <v>0.0</v>
      </c>
      <c r="F553" s="1">
        <v>0.0</v>
      </c>
    </row>
    <row r="554">
      <c r="A554" s="1" t="s">
        <v>285</v>
      </c>
      <c r="B554" s="1">
        <v>12.0</v>
      </c>
      <c r="C554" s="1">
        <v>0.0</v>
      </c>
      <c r="D554" s="1">
        <v>0.0</v>
      </c>
      <c r="E554" s="1">
        <v>0.0</v>
      </c>
      <c r="F554" s="1">
        <v>0.0</v>
      </c>
    </row>
    <row r="555">
      <c r="A555" s="1" t="s">
        <v>1746</v>
      </c>
      <c r="B555" s="1">
        <v>72.0</v>
      </c>
      <c r="C555" s="1">
        <v>0.0</v>
      </c>
      <c r="D555" s="1">
        <v>0.0</v>
      </c>
      <c r="E555" s="1">
        <v>0.0</v>
      </c>
      <c r="F555" s="1">
        <v>0.0</v>
      </c>
    </row>
    <row r="556">
      <c r="A556" s="1" t="s">
        <v>561</v>
      </c>
      <c r="B556" s="1">
        <v>762.0</v>
      </c>
      <c r="C556" s="1">
        <v>0.0</v>
      </c>
      <c r="D556" s="1">
        <v>0.0</v>
      </c>
      <c r="E556" s="1">
        <v>0.0</v>
      </c>
      <c r="F556" s="1">
        <v>0.0</v>
      </c>
    </row>
    <row r="557">
      <c r="A557" s="1" t="s">
        <v>907</v>
      </c>
      <c r="B557" s="1">
        <v>43.0</v>
      </c>
      <c r="C557" s="1">
        <v>0.0</v>
      </c>
      <c r="D557" s="1">
        <v>0.0</v>
      </c>
      <c r="E557" s="1">
        <v>0.0</v>
      </c>
      <c r="F557" s="1">
        <v>0.0</v>
      </c>
    </row>
    <row r="558">
      <c r="A558" s="1" t="s">
        <v>1495</v>
      </c>
      <c r="B558" s="1">
        <v>21.0</v>
      </c>
      <c r="C558" s="1">
        <v>0.0</v>
      </c>
      <c r="D558" s="1">
        <v>0.0</v>
      </c>
      <c r="E558" s="1">
        <v>0.0</v>
      </c>
      <c r="F558" s="1">
        <v>0.0</v>
      </c>
    </row>
    <row r="559">
      <c r="A559" s="1" t="s">
        <v>1571</v>
      </c>
      <c r="B559" s="1">
        <v>17.0</v>
      </c>
      <c r="C559" s="1">
        <v>0.0</v>
      </c>
      <c r="D559" s="1">
        <v>0.0</v>
      </c>
      <c r="E559" s="1">
        <v>0.0</v>
      </c>
      <c r="F559" s="1">
        <v>0.0</v>
      </c>
    </row>
    <row r="560">
      <c r="A560" s="1" t="s">
        <v>1933</v>
      </c>
      <c r="B560" s="1">
        <v>18.0</v>
      </c>
      <c r="C560" s="1">
        <v>0.0</v>
      </c>
      <c r="D560" s="1">
        <v>0.0</v>
      </c>
      <c r="E560" s="1">
        <v>0.0</v>
      </c>
      <c r="F560" s="1">
        <v>0.0</v>
      </c>
    </row>
    <row r="561">
      <c r="A561" s="1" t="s">
        <v>1076</v>
      </c>
      <c r="B561" s="1">
        <v>8.0</v>
      </c>
      <c r="C561" s="1">
        <v>0.0</v>
      </c>
      <c r="D561" s="1">
        <v>0.0</v>
      </c>
      <c r="E561" s="1">
        <v>0.0</v>
      </c>
      <c r="F561" s="1">
        <v>0.0</v>
      </c>
    </row>
    <row r="562">
      <c r="A562" s="1" t="s">
        <v>979</v>
      </c>
      <c r="B562" s="1">
        <v>22.0</v>
      </c>
      <c r="C562" s="1">
        <v>0.0</v>
      </c>
      <c r="D562" s="1">
        <v>0.0</v>
      </c>
      <c r="E562" s="1">
        <v>0.0</v>
      </c>
      <c r="F562" s="1">
        <v>0.0</v>
      </c>
    </row>
    <row r="563">
      <c r="A563" s="1" t="s">
        <v>1869</v>
      </c>
      <c r="B563" s="1">
        <v>13.0</v>
      </c>
      <c r="C563" s="1">
        <v>0.0</v>
      </c>
      <c r="D563" s="1">
        <v>0.0</v>
      </c>
      <c r="E563" s="1">
        <v>0.0</v>
      </c>
      <c r="F563" s="1">
        <v>0.0</v>
      </c>
    </row>
    <row r="564">
      <c r="A564" s="1" t="s">
        <v>1488</v>
      </c>
      <c r="B564" s="1">
        <v>61.0</v>
      </c>
      <c r="C564" s="1">
        <v>0.0</v>
      </c>
      <c r="D564" s="1">
        <v>0.0</v>
      </c>
      <c r="E564" s="1">
        <v>0.0</v>
      </c>
      <c r="F564" s="1">
        <v>0.0</v>
      </c>
    </row>
    <row r="565">
      <c r="A565" s="1" t="s">
        <v>939</v>
      </c>
      <c r="B565" s="1">
        <v>25.0</v>
      </c>
      <c r="C565" s="1">
        <v>0.0</v>
      </c>
      <c r="D565" s="1">
        <v>0.0</v>
      </c>
      <c r="E565" s="1">
        <v>0.0</v>
      </c>
      <c r="F565" s="1">
        <v>0.0</v>
      </c>
    </row>
    <row r="566">
      <c r="A566" s="1" t="s">
        <v>1888</v>
      </c>
      <c r="B566" s="1">
        <v>192.0</v>
      </c>
      <c r="C566" s="1">
        <v>0.0</v>
      </c>
      <c r="D566" s="1">
        <v>0.0</v>
      </c>
      <c r="E566" s="1">
        <v>0.0</v>
      </c>
      <c r="F566" s="1">
        <v>0.0</v>
      </c>
    </row>
    <row r="567">
      <c r="A567" s="1" t="s">
        <v>1358</v>
      </c>
      <c r="B567" s="1">
        <v>23.0</v>
      </c>
      <c r="C567" s="1">
        <v>0.0</v>
      </c>
      <c r="D567" s="1">
        <v>0.0</v>
      </c>
      <c r="E567" s="1">
        <v>0.0</v>
      </c>
      <c r="F567" s="1">
        <v>0.0</v>
      </c>
    </row>
    <row r="568">
      <c r="A568" s="1" t="s">
        <v>702</v>
      </c>
      <c r="B568" s="1">
        <v>34.0</v>
      </c>
      <c r="C568" s="1">
        <v>0.0</v>
      </c>
      <c r="D568" s="1">
        <v>0.0</v>
      </c>
      <c r="E568" s="1">
        <v>0.0</v>
      </c>
      <c r="F568" s="1">
        <v>0.0</v>
      </c>
    </row>
    <row r="569">
      <c r="A569" s="1" t="s">
        <v>501</v>
      </c>
      <c r="B569" s="1">
        <v>101.0</v>
      </c>
      <c r="C569" s="1">
        <v>0.0</v>
      </c>
      <c r="D569" s="1">
        <v>0.0</v>
      </c>
      <c r="E569" s="1">
        <v>0.0</v>
      </c>
      <c r="F569" s="1">
        <v>0.0</v>
      </c>
    </row>
    <row r="570">
      <c r="A570" s="1" t="s">
        <v>602</v>
      </c>
      <c r="B570" s="1">
        <v>42.0</v>
      </c>
      <c r="C570" s="1">
        <v>0.0</v>
      </c>
      <c r="D570" s="1">
        <v>0.0</v>
      </c>
      <c r="E570" s="1">
        <v>0.0</v>
      </c>
      <c r="F570" s="1">
        <v>0.0</v>
      </c>
    </row>
    <row r="571">
      <c r="A571" s="1" t="s">
        <v>795</v>
      </c>
      <c r="B571" s="1">
        <v>29.0</v>
      </c>
      <c r="C571" s="1">
        <v>0.0</v>
      </c>
      <c r="D571" s="1">
        <v>0.0</v>
      </c>
      <c r="E571" s="1">
        <v>0.0</v>
      </c>
      <c r="F571" s="1">
        <v>0.0</v>
      </c>
    </row>
    <row r="572">
      <c r="A572" s="1" t="s">
        <v>372</v>
      </c>
      <c r="B572" s="1">
        <v>84.0</v>
      </c>
      <c r="C572" s="1">
        <v>0.0</v>
      </c>
      <c r="D572" s="1">
        <v>0.0</v>
      </c>
      <c r="E572" s="1">
        <v>0.0</v>
      </c>
      <c r="F572" s="1">
        <v>0.0</v>
      </c>
    </row>
    <row r="573">
      <c r="A573" s="1" t="s">
        <v>484</v>
      </c>
      <c r="B573" s="1">
        <v>40.0</v>
      </c>
      <c r="C573" s="1">
        <v>0.0</v>
      </c>
      <c r="D573" s="1">
        <v>0.0</v>
      </c>
      <c r="E573" s="1">
        <v>0.0</v>
      </c>
      <c r="F573" s="1">
        <v>0.0</v>
      </c>
    </row>
    <row r="574">
      <c r="A574" s="1" t="s">
        <v>1525</v>
      </c>
      <c r="B574" s="1">
        <v>34.0</v>
      </c>
      <c r="C574" s="1">
        <v>0.0</v>
      </c>
      <c r="D574" s="1">
        <v>0.0</v>
      </c>
      <c r="E574" s="1">
        <v>0.0</v>
      </c>
      <c r="F574" s="1">
        <v>0.0</v>
      </c>
    </row>
    <row r="575">
      <c r="A575" s="1" t="s">
        <v>1946</v>
      </c>
      <c r="B575" s="1">
        <v>37.0</v>
      </c>
      <c r="C575" s="1">
        <v>0.0</v>
      </c>
      <c r="D575" s="1">
        <v>0.0</v>
      </c>
      <c r="E575" s="1">
        <v>0.0</v>
      </c>
      <c r="F575" s="1">
        <v>0.0</v>
      </c>
    </row>
    <row r="576">
      <c r="A576" s="1" t="s">
        <v>1051</v>
      </c>
      <c r="B576" s="1">
        <v>28.0</v>
      </c>
      <c r="C576" s="1">
        <v>0.0</v>
      </c>
      <c r="D576" s="1">
        <v>0.0</v>
      </c>
      <c r="E576" s="1">
        <v>0.0</v>
      </c>
      <c r="F576" s="1">
        <v>0.0</v>
      </c>
    </row>
    <row r="577">
      <c r="A577" s="1" t="s">
        <v>2057</v>
      </c>
      <c r="B577" s="1">
        <v>25.0</v>
      </c>
      <c r="C577" s="1">
        <v>0.0</v>
      </c>
      <c r="D577" s="1">
        <v>0.0</v>
      </c>
      <c r="E577" s="1">
        <v>0.0</v>
      </c>
      <c r="F577" s="1">
        <v>0.0</v>
      </c>
    </row>
    <row r="578">
      <c r="A578" s="1" t="s">
        <v>1752</v>
      </c>
      <c r="B578" s="1">
        <v>23.0</v>
      </c>
      <c r="C578" s="1">
        <v>0.0</v>
      </c>
      <c r="D578" s="1">
        <v>0.0</v>
      </c>
      <c r="E578" s="1">
        <v>0.0</v>
      </c>
      <c r="F578" s="1">
        <v>0.0</v>
      </c>
    </row>
    <row r="579">
      <c r="A579" s="1" t="s">
        <v>379</v>
      </c>
      <c r="B579" s="1">
        <v>76.0</v>
      </c>
      <c r="C579" s="1">
        <v>0.0</v>
      </c>
      <c r="D579" s="1">
        <v>0.0</v>
      </c>
      <c r="E579" s="1">
        <v>0.0</v>
      </c>
      <c r="F579" s="1">
        <v>0.0</v>
      </c>
    </row>
    <row r="580">
      <c r="A580" s="1" t="s">
        <v>1036</v>
      </c>
      <c r="B580" s="1">
        <v>23.0</v>
      </c>
      <c r="C580" s="1">
        <v>0.0</v>
      </c>
      <c r="D580" s="1">
        <v>0.0</v>
      </c>
      <c r="E580" s="1">
        <v>0.0</v>
      </c>
      <c r="F580" s="1">
        <v>0.0</v>
      </c>
    </row>
    <row r="581">
      <c r="A581" s="1" t="s">
        <v>1193</v>
      </c>
      <c r="B581" s="1">
        <v>83.0</v>
      </c>
      <c r="C581" s="1">
        <v>0.0</v>
      </c>
      <c r="D581" s="1">
        <v>0.0</v>
      </c>
      <c r="E581" s="1">
        <v>0.0</v>
      </c>
      <c r="F581" s="1">
        <v>0.0</v>
      </c>
    </row>
    <row r="582">
      <c r="A582" s="1" t="s">
        <v>411</v>
      </c>
      <c r="B582" s="1">
        <v>23.0</v>
      </c>
      <c r="C582" s="1">
        <v>0.0</v>
      </c>
      <c r="D582" s="1">
        <v>0.0</v>
      </c>
      <c r="E582" s="1">
        <v>0.0</v>
      </c>
      <c r="F582" s="1">
        <v>0.0</v>
      </c>
    </row>
    <row r="583">
      <c r="A583" s="1" t="s">
        <v>1764</v>
      </c>
      <c r="B583" s="1">
        <v>15.0</v>
      </c>
      <c r="C583" s="1">
        <v>0.0</v>
      </c>
      <c r="D583" s="1">
        <v>0.0</v>
      </c>
      <c r="E583" s="1">
        <v>0.0</v>
      </c>
      <c r="F583" s="1">
        <v>0.0</v>
      </c>
    </row>
    <row r="584">
      <c r="A584" s="1" t="s">
        <v>862</v>
      </c>
      <c r="B584" s="1">
        <v>67.0</v>
      </c>
      <c r="C584" s="1">
        <v>0.0</v>
      </c>
      <c r="D584" s="1">
        <v>0.0</v>
      </c>
      <c r="E584" s="1">
        <v>0.0</v>
      </c>
      <c r="F584" s="1">
        <v>0.0</v>
      </c>
    </row>
    <row r="585">
      <c r="A585" s="1" t="s">
        <v>829</v>
      </c>
      <c r="B585" s="1">
        <v>99.0</v>
      </c>
      <c r="C585" s="1">
        <v>0.0</v>
      </c>
      <c r="D585" s="1">
        <v>0.0</v>
      </c>
      <c r="E585" s="1">
        <v>0.0</v>
      </c>
      <c r="F585" s="1">
        <v>0.0</v>
      </c>
    </row>
    <row r="586">
      <c r="A586" s="1" t="s">
        <v>279</v>
      </c>
      <c r="B586" s="1">
        <v>6.0</v>
      </c>
      <c r="C586" s="1">
        <v>0.0</v>
      </c>
      <c r="D586" s="1">
        <v>0.0</v>
      </c>
      <c r="E586" s="1">
        <v>0.0</v>
      </c>
      <c r="F586" s="1">
        <v>0.0</v>
      </c>
    </row>
    <row r="587">
      <c r="A587" s="1" t="s">
        <v>1441</v>
      </c>
      <c r="B587" s="1">
        <v>43.0</v>
      </c>
      <c r="C587" s="1">
        <v>0.0</v>
      </c>
      <c r="D587" s="1">
        <v>0.0</v>
      </c>
      <c r="E587" s="1">
        <v>0.0</v>
      </c>
      <c r="F587" s="1">
        <v>0.0</v>
      </c>
    </row>
    <row r="588">
      <c r="A588" s="1" t="s">
        <v>1181</v>
      </c>
      <c r="B588" s="1">
        <v>24.0</v>
      </c>
      <c r="C588" s="1">
        <v>0.0</v>
      </c>
      <c r="D588" s="1">
        <v>0.0</v>
      </c>
      <c r="E588" s="1">
        <v>0.0</v>
      </c>
      <c r="F588" s="1">
        <v>0.0</v>
      </c>
    </row>
    <row r="589">
      <c r="A589" s="1" t="s">
        <v>1706</v>
      </c>
      <c r="B589" s="1">
        <v>117.0</v>
      </c>
      <c r="C589" s="1">
        <v>0.0</v>
      </c>
      <c r="D589" s="1">
        <v>0.0</v>
      </c>
      <c r="E589" s="1">
        <v>0.0</v>
      </c>
      <c r="F589" s="1">
        <v>0.0</v>
      </c>
    </row>
    <row r="590">
      <c r="A590" s="1" t="s">
        <v>1863</v>
      </c>
      <c r="B590" s="1">
        <v>31.0</v>
      </c>
      <c r="C590" s="1">
        <v>0.0</v>
      </c>
      <c r="D590" s="1">
        <v>0.0</v>
      </c>
      <c r="E590" s="1">
        <v>0.0</v>
      </c>
      <c r="F590" s="1">
        <v>0.0</v>
      </c>
    </row>
    <row r="591">
      <c r="A591" s="1" t="s">
        <v>1978</v>
      </c>
      <c r="B591" s="1">
        <v>18.0</v>
      </c>
      <c r="C591" s="1">
        <v>0.0</v>
      </c>
      <c r="D591" s="1">
        <v>0.0</v>
      </c>
      <c r="E591" s="1">
        <v>0.0</v>
      </c>
      <c r="F591" s="1">
        <v>0.0</v>
      </c>
    </row>
    <row r="592">
      <c r="A592" s="1" t="s">
        <v>916</v>
      </c>
      <c r="B592" s="1">
        <v>17.0</v>
      </c>
      <c r="C592" s="1">
        <v>0.0</v>
      </c>
      <c r="D592" s="1">
        <v>0.0</v>
      </c>
      <c r="E592" s="1">
        <v>0.0</v>
      </c>
      <c r="F592" s="1">
        <v>0.0</v>
      </c>
    </row>
    <row r="593">
      <c r="A593" s="1" t="s">
        <v>1260</v>
      </c>
      <c r="B593" s="1">
        <v>42.0</v>
      </c>
      <c r="C593" s="1">
        <v>0.0</v>
      </c>
      <c r="D593" s="1">
        <v>0.0</v>
      </c>
      <c r="E593" s="1">
        <v>0.0</v>
      </c>
      <c r="F593" s="1">
        <v>0.0</v>
      </c>
    </row>
    <row r="594">
      <c r="A594" s="1" t="s">
        <v>1451</v>
      </c>
      <c r="B594" s="1">
        <v>23.0</v>
      </c>
      <c r="C594" s="1">
        <v>0.0</v>
      </c>
      <c r="D594" s="1">
        <v>0.0</v>
      </c>
      <c r="E594" s="1">
        <v>0.0</v>
      </c>
      <c r="F594" s="1">
        <v>0.0</v>
      </c>
    </row>
    <row r="595">
      <c r="A595" s="1" t="s">
        <v>1793</v>
      </c>
      <c r="B595" s="1">
        <v>26.0</v>
      </c>
      <c r="C595" s="1">
        <v>0.0</v>
      </c>
      <c r="D595" s="1">
        <v>0.0</v>
      </c>
      <c r="E595" s="1">
        <v>0.0</v>
      </c>
      <c r="F595" s="1">
        <v>0.0</v>
      </c>
    </row>
    <row r="596">
      <c r="A596" s="1" t="s">
        <v>1811</v>
      </c>
      <c r="B596" s="1">
        <v>17.0</v>
      </c>
      <c r="C596" s="1">
        <v>0.0</v>
      </c>
      <c r="D596" s="1">
        <v>0.0</v>
      </c>
      <c r="E596" s="1">
        <v>0.0</v>
      </c>
      <c r="F596" s="1">
        <v>0.0</v>
      </c>
    </row>
    <row r="597">
      <c r="A597" s="1" t="s">
        <v>1128</v>
      </c>
      <c r="B597" s="1">
        <v>14.0</v>
      </c>
      <c r="C597" s="1">
        <v>0.0</v>
      </c>
      <c r="D597" s="1">
        <v>0.0</v>
      </c>
      <c r="E597" s="1">
        <v>0.0</v>
      </c>
      <c r="F597" s="1">
        <v>0.0</v>
      </c>
    </row>
    <row r="598">
      <c r="A598" s="1" t="s">
        <v>1584</v>
      </c>
      <c r="B598" s="1">
        <v>44.0</v>
      </c>
      <c r="C598" s="1">
        <v>0.0</v>
      </c>
      <c r="D598" s="1">
        <v>0.0</v>
      </c>
      <c r="E598" s="1">
        <v>0.0</v>
      </c>
      <c r="F598" s="1">
        <v>0.0</v>
      </c>
    </row>
    <row r="599">
      <c r="A599" s="1" t="s">
        <v>1885</v>
      </c>
      <c r="B599" s="1">
        <v>33.0</v>
      </c>
      <c r="C599" s="1">
        <v>0.0</v>
      </c>
      <c r="D599" s="1">
        <v>0.0</v>
      </c>
      <c r="E599" s="1">
        <v>0.0</v>
      </c>
      <c r="F599" s="1">
        <v>0.0</v>
      </c>
    </row>
    <row r="600">
      <c r="A600" s="1" t="s">
        <v>1292</v>
      </c>
      <c r="B600" s="1">
        <v>3.0</v>
      </c>
      <c r="C600" s="1">
        <v>0.0</v>
      </c>
      <c r="D600" s="1">
        <v>0.0</v>
      </c>
      <c r="E600" s="1">
        <v>0.0</v>
      </c>
      <c r="F600" s="1">
        <v>0.0</v>
      </c>
    </row>
    <row r="601">
      <c r="A601" s="1" t="s">
        <v>1108</v>
      </c>
      <c r="B601" s="1">
        <v>13.0</v>
      </c>
      <c r="C601" s="1">
        <v>0.0</v>
      </c>
      <c r="D601" s="1">
        <v>0.0</v>
      </c>
      <c r="E601" s="1">
        <v>0.0</v>
      </c>
      <c r="F601" s="1">
        <v>0.0</v>
      </c>
    </row>
    <row r="602">
      <c r="A602" s="1" t="s">
        <v>356</v>
      </c>
      <c r="B602" s="1">
        <v>45.0</v>
      </c>
      <c r="C602" s="1">
        <v>0.0</v>
      </c>
      <c r="D602" s="1">
        <v>0.0</v>
      </c>
      <c r="E602" s="1">
        <v>0.0</v>
      </c>
      <c r="F602" s="1">
        <v>0.0</v>
      </c>
    </row>
    <row r="603">
      <c r="A603" s="1" t="s">
        <v>2053</v>
      </c>
      <c r="B603" s="1">
        <v>16.0</v>
      </c>
      <c r="C603" s="1">
        <v>0.0</v>
      </c>
      <c r="D603" s="1">
        <v>0.0</v>
      </c>
      <c r="E603" s="1">
        <v>0.0</v>
      </c>
      <c r="F603" s="1">
        <v>0.0</v>
      </c>
    </row>
    <row r="604">
      <c r="A604" s="1" t="s">
        <v>792</v>
      </c>
      <c r="B604" s="1">
        <v>49.0</v>
      </c>
      <c r="C604" s="1">
        <v>0.0</v>
      </c>
      <c r="D604" s="1">
        <v>0.0</v>
      </c>
      <c r="E604" s="1">
        <v>0.0</v>
      </c>
      <c r="F604" s="1">
        <v>0.0</v>
      </c>
    </row>
    <row r="605">
      <c r="A605" s="1" t="s">
        <v>1744</v>
      </c>
      <c r="B605" s="1">
        <v>36.0</v>
      </c>
      <c r="C605" s="1">
        <v>0.0</v>
      </c>
      <c r="D605" s="1">
        <v>0.0</v>
      </c>
      <c r="E605" s="1">
        <v>0.0</v>
      </c>
      <c r="F605" s="1">
        <v>0.0</v>
      </c>
    </row>
    <row r="606">
      <c r="A606" s="1" t="s">
        <v>1165</v>
      </c>
      <c r="B606" s="1">
        <v>35.0</v>
      </c>
      <c r="C606" s="1">
        <v>0.0</v>
      </c>
      <c r="D606" s="1">
        <v>0.0</v>
      </c>
      <c r="E606" s="1">
        <v>0.0</v>
      </c>
      <c r="F606" s="1">
        <v>0.0</v>
      </c>
    </row>
    <row r="607">
      <c r="A607" s="1" t="s">
        <v>1668</v>
      </c>
      <c r="B607" s="1">
        <v>60.0</v>
      </c>
      <c r="C607" s="1">
        <v>0.0</v>
      </c>
      <c r="D607" s="1">
        <v>0.0</v>
      </c>
      <c r="E607" s="1">
        <v>0.0</v>
      </c>
      <c r="F607" s="1">
        <v>0.0</v>
      </c>
    </row>
    <row r="608">
      <c r="A608" s="1" t="s">
        <v>982</v>
      </c>
      <c r="B608" s="1">
        <v>44.0</v>
      </c>
      <c r="C608" s="1">
        <v>0.0</v>
      </c>
      <c r="D608" s="1">
        <v>0.0</v>
      </c>
      <c r="E608" s="1">
        <v>0.0</v>
      </c>
      <c r="F608" s="1">
        <v>0.0</v>
      </c>
    </row>
    <row r="609">
      <c r="A609" s="1" t="s">
        <v>332</v>
      </c>
      <c r="B609" s="1">
        <v>239.0</v>
      </c>
      <c r="C609" s="1">
        <v>2.0</v>
      </c>
      <c r="D609" s="1">
        <v>0.0</v>
      </c>
      <c r="E609" s="1">
        <v>0.0</v>
      </c>
      <c r="F609" s="1">
        <v>0.0</v>
      </c>
    </row>
    <row r="610">
      <c r="A610" s="1" t="s">
        <v>1853</v>
      </c>
      <c r="B610" s="1">
        <v>9.0</v>
      </c>
      <c r="C610" s="1">
        <v>0.0</v>
      </c>
      <c r="D610" s="1">
        <v>0.0</v>
      </c>
      <c r="E610" s="1">
        <v>0.0</v>
      </c>
      <c r="F610" s="1">
        <v>0.0</v>
      </c>
    </row>
    <row r="611">
      <c r="A611" s="1" t="s">
        <v>763</v>
      </c>
      <c r="B611" s="1">
        <v>21.0</v>
      </c>
      <c r="C611" s="1">
        <v>0.0</v>
      </c>
      <c r="D611" s="1">
        <v>0.0</v>
      </c>
      <c r="E611" s="1">
        <v>0.0</v>
      </c>
      <c r="F611" s="1">
        <v>0.0</v>
      </c>
    </row>
    <row r="612">
      <c r="A612" s="1" t="s">
        <v>320</v>
      </c>
      <c r="B612" s="1">
        <v>62.0</v>
      </c>
      <c r="C612" s="1">
        <v>0.0</v>
      </c>
      <c r="D612" s="1">
        <v>0.0</v>
      </c>
      <c r="E612" s="1">
        <v>0.0</v>
      </c>
      <c r="F612" s="1">
        <v>0.0</v>
      </c>
    </row>
    <row r="613">
      <c r="A613" s="1" t="s">
        <v>1020</v>
      </c>
      <c r="B613" s="1">
        <v>33.0</v>
      </c>
      <c r="C613" s="1">
        <v>0.0</v>
      </c>
      <c r="D613" s="1">
        <v>0.0</v>
      </c>
      <c r="E613" s="1">
        <v>0.0</v>
      </c>
      <c r="F613" s="1">
        <v>0.0</v>
      </c>
    </row>
    <row r="614">
      <c r="A614" s="1" t="s">
        <v>1819</v>
      </c>
      <c r="B614" s="1">
        <v>39.0</v>
      </c>
      <c r="C614" s="1">
        <v>0.0</v>
      </c>
      <c r="D614" s="1">
        <v>0.0</v>
      </c>
      <c r="E614" s="1">
        <v>0.0</v>
      </c>
      <c r="F614" s="1">
        <v>0.0</v>
      </c>
    </row>
    <row r="615">
      <c r="A615" s="1" t="s">
        <v>423</v>
      </c>
      <c r="B615" s="1">
        <v>33.0</v>
      </c>
      <c r="C615" s="1">
        <v>0.0</v>
      </c>
      <c r="D615" s="1">
        <v>0.0</v>
      </c>
      <c r="E615" s="1">
        <v>0.0</v>
      </c>
      <c r="F615" s="1">
        <v>0.0</v>
      </c>
    </row>
    <row r="616">
      <c r="A616" s="1" t="s">
        <v>664</v>
      </c>
      <c r="B616" s="1">
        <v>92.0</v>
      </c>
      <c r="C616" s="1">
        <v>0.0</v>
      </c>
      <c r="D616" s="1">
        <v>0.0</v>
      </c>
      <c r="E616" s="1">
        <v>0.0</v>
      </c>
      <c r="F616" s="1">
        <v>0.0</v>
      </c>
    </row>
    <row r="617">
      <c r="A617" s="1" t="s">
        <v>1357</v>
      </c>
      <c r="B617" s="1">
        <v>14.0</v>
      </c>
      <c r="C617" s="1">
        <v>0.0</v>
      </c>
      <c r="D617" s="1">
        <v>0.0</v>
      </c>
      <c r="E617" s="1">
        <v>0.0</v>
      </c>
      <c r="F617" s="1">
        <v>0.0</v>
      </c>
    </row>
    <row r="618">
      <c r="A618" s="1" t="s">
        <v>1579</v>
      </c>
      <c r="B618" s="1">
        <v>86.0</v>
      </c>
      <c r="C618" s="1">
        <v>0.0</v>
      </c>
      <c r="D618" s="1">
        <v>0.0</v>
      </c>
      <c r="E618" s="1">
        <v>0.0</v>
      </c>
      <c r="F618" s="1">
        <v>0.0</v>
      </c>
    </row>
    <row r="619">
      <c r="A619" s="1" t="s">
        <v>1025</v>
      </c>
      <c r="B619" s="1">
        <v>85.0</v>
      </c>
      <c r="C619" s="1">
        <v>0.0</v>
      </c>
      <c r="D619" s="1">
        <v>0.0</v>
      </c>
      <c r="E619" s="1">
        <v>0.0</v>
      </c>
      <c r="F619" s="1">
        <v>0.0</v>
      </c>
    </row>
    <row r="620">
      <c r="A620" s="1" t="s">
        <v>1705</v>
      </c>
      <c r="B620" s="1">
        <v>19.0</v>
      </c>
      <c r="C620" s="1">
        <v>0.0</v>
      </c>
      <c r="D620" s="1">
        <v>0.0</v>
      </c>
      <c r="E620" s="1">
        <v>0.0</v>
      </c>
      <c r="F620" s="1">
        <v>0.0</v>
      </c>
    </row>
    <row r="621">
      <c r="A621" s="1" t="s">
        <v>580</v>
      </c>
      <c r="B621" s="1">
        <v>43.0</v>
      </c>
      <c r="C621" s="1">
        <v>0.0</v>
      </c>
      <c r="D621" s="1">
        <v>0.0</v>
      </c>
      <c r="E621" s="1">
        <v>0.0</v>
      </c>
      <c r="F621" s="1">
        <v>0.0</v>
      </c>
    </row>
    <row r="622">
      <c r="A622" s="1" t="s">
        <v>1964</v>
      </c>
      <c r="B622" s="1">
        <v>20.0</v>
      </c>
      <c r="C622" s="1">
        <v>0.0</v>
      </c>
      <c r="D622" s="1">
        <v>0.0</v>
      </c>
      <c r="E622" s="1">
        <v>0.0</v>
      </c>
      <c r="F622" s="1">
        <v>0.0</v>
      </c>
    </row>
    <row r="623">
      <c r="A623" s="1" t="s">
        <v>236</v>
      </c>
      <c r="B623" s="1">
        <v>106.0</v>
      </c>
      <c r="C623" s="1">
        <v>0.0</v>
      </c>
      <c r="D623" s="1">
        <v>0.0</v>
      </c>
      <c r="E623" s="1">
        <v>0.0</v>
      </c>
      <c r="F623" s="1">
        <v>0.0</v>
      </c>
    </row>
    <row r="624">
      <c r="A624" s="1" t="s">
        <v>1134</v>
      </c>
      <c r="B624" s="1">
        <v>74.0</v>
      </c>
      <c r="C624" s="1">
        <v>0.0</v>
      </c>
      <c r="D624" s="1">
        <v>0.0</v>
      </c>
      <c r="E624" s="1">
        <v>0.0</v>
      </c>
      <c r="F624" s="1">
        <v>0.0</v>
      </c>
    </row>
    <row r="625">
      <c r="A625" s="1" t="s">
        <v>1158</v>
      </c>
      <c r="B625" s="1">
        <v>76.0</v>
      </c>
      <c r="C625" s="1">
        <v>0.0</v>
      </c>
      <c r="D625" s="1">
        <v>0.0</v>
      </c>
      <c r="E625" s="1">
        <v>0.0</v>
      </c>
      <c r="F625" s="1">
        <v>0.0</v>
      </c>
    </row>
    <row r="626">
      <c r="A626" s="1" t="s">
        <v>1077</v>
      </c>
      <c r="B626" s="1">
        <v>83.0</v>
      </c>
      <c r="C626" s="1">
        <v>0.0</v>
      </c>
      <c r="D626" s="1">
        <v>0.0</v>
      </c>
      <c r="E626" s="1">
        <v>0.0</v>
      </c>
      <c r="F626" s="1">
        <v>0.0</v>
      </c>
    </row>
    <row r="627">
      <c r="A627" s="1" t="s">
        <v>560</v>
      </c>
      <c r="B627" s="1">
        <v>16.0</v>
      </c>
      <c r="C627" s="1">
        <v>0.0</v>
      </c>
      <c r="D627" s="1">
        <v>0.0</v>
      </c>
      <c r="E627" s="1">
        <v>0.0</v>
      </c>
      <c r="F627" s="1">
        <v>0.0</v>
      </c>
    </row>
    <row r="628">
      <c r="A628" s="1" t="s">
        <v>837</v>
      </c>
      <c r="B628" s="1">
        <v>33.0</v>
      </c>
      <c r="C628" s="1">
        <v>0.0</v>
      </c>
      <c r="D628" s="1">
        <v>0.0</v>
      </c>
      <c r="E628" s="1">
        <v>0.0</v>
      </c>
      <c r="F628" s="1">
        <v>0.0</v>
      </c>
    </row>
    <row r="629">
      <c r="A629" s="1" t="s">
        <v>952</v>
      </c>
      <c r="B629" s="1">
        <v>17.0</v>
      </c>
      <c r="C629" s="1">
        <v>0.0</v>
      </c>
      <c r="D629" s="1">
        <v>0.0</v>
      </c>
      <c r="E629" s="1">
        <v>0.0</v>
      </c>
      <c r="F629" s="1">
        <v>0.0</v>
      </c>
    </row>
    <row r="630">
      <c r="A630" s="1" t="s">
        <v>195</v>
      </c>
      <c r="B630" s="1">
        <v>25.0</v>
      </c>
      <c r="C630" s="1">
        <v>0.0</v>
      </c>
      <c r="D630" s="1">
        <v>0.0</v>
      </c>
      <c r="E630" s="1">
        <v>0.0</v>
      </c>
      <c r="F630" s="1">
        <v>0.0</v>
      </c>
    </row>
    <row r="631">
      <c r="A631" s="1" t="s">
        <v>1352</v>
      </c>
      <c r="B631" s="1">
        <v>25.0</v>
      </c>
      <c r="C631" s="1">
        <v>0.0</v>
      </c>
      <c r="D631" s="1">
        <v>0.0</v>
      </c>
      <c r="E631" s="1">
        <v>0.0</v>
      </c>
      <c r="F631" s="1">
        <v>0.0</v>
      </c>
    </row>
    <row r="632">
      <c r="A632" s="1" t="s">
        <v>635</v>
      </c>
      <c r="B632" s="1">
        <v>30.0</v>
      </c>
      <c r="C632" s="1">
        <v>0.0</v>
      </c>
      <c r="D632" s="1">
        <v>0.0</v>
      </c>
      <c r="E632" s="1">
        <v>0.0</v>
      </c>
      <c r="F632" s="1">
        <v>0.0</v>
      </c>
    </row>
    <row r="633">
      <c r="A633" s="1" t="s">
        <v>439</v>
      </c>
      <c r="B633" s="1">
        <v>130.0</v>
      </c>
      <c r="C633" s="1">
        <v>1.0</v>
      </c>
      <c r="D633" s="1">
        <v>0.0</v>
      </c>
      <c r="E633" s="1">
        <v>0.0</v>
      </c>
      <c r="F633" s="1">
        <v>0.0</v>
      </c>
    </row>
    <row r="634">
      <c r="A634" s="1" t="s">
        <v>452</v>
      </c>
      <c r="B634" s="1">
        <v>10.0</v>
      </c>
      <c r="C634" s="1">
        <v>0.0</v>
      </c>
      <c r="D634" s="1">
        <v>0.0</v>
      </c>
      <c r="E634" s="1">
        <v>0.0</v>
      </c>
      <c r="F634" s="1">
        <v>0.0</v>
      </c>
    </row>
    <row r="635">
      <c r="A635" s="1" t="s">
        <v>1287</v>
      </c>
      <c r="B635" s="1">
        <v>18.0</v>
      </c>
      <c r="C635" s="1">
        <v>0.0</v>
      </c>
      <c r="D635" s="1">
        <v>0.0</v>
      </c>
      <c r="E635" s="1">
        <v>0.0</v>
      </c>
      <c r="F635" s="1">
        <v>0.0</v>
      </c>
    </row>
    <row r="636">
      <c r="A636" s="1" t="s">
        <v>1874</v>
      </c>
      <c r="B636" s="1">
        <v>4.0</v>
      </c>
      <c r="C636" s="1">
        <v>0.0</v>
      </c>
      <c r="D636" s="1">
        <v>0.0</v>
      </c>
      <c r="E636" s="1">
        <v>0.0</v>
      </c>
      <c r="F636" s="1">
        <v>0.0</v>
      </c>
    </row>
    <row r="637">
      <c r="A637" s="1" t="s">
        <v>475</v>
      </c>
      <c r="B637" s="1">
        <v>633.0</v>
      </c>
      <c r="C637" s="1">
        <v>3.0</v>
      </c>
      <c r="D637" s="1">
        <v>0.0</v>
      </c>
      <c r="E637" s="1">
        <v>0.0</v>
      </c>
      <c r="F637" s="1">
        <v>0.0</v>
      </c>
    </row>
    <row r="638">
      <c r="A638" s="1" t="s">
        <v>1435</v>
      </c>
      <c r="B638" s="1">
        <v>10.0</v>
      </c>
      <c r="C638" s="1">
        <v>0.0</v>
      </c>
      <c r="D638" s="1">
        <v>0.0</v>
      </c>
      <c r="E638" s="1">
        <v>0.0</v>
      </c>
      <c r="F638" s="1">
        <v>0.0</v>
      </c>
    </row>
    <row r="639">
      <c r="A639" s="1" t="s">
        <v>291</v>
      </c>
      <c r="B639" s="1">
        <v>3.0</v>
      </c>
      <c r="C639" s="1">
        <v>0.0</v>
      </c>
      <c r="D639" s="1">
        <v>0.0</v>
      </c>
      <c r="E639" s="1">
        <v>0.0</v>
      </c>
      <c r="F639" s="1">
        <v>0.0</v>
      </c>
    </row>
    <row r="640">
      <c r="A640" s="1" t="s">
        <v>1295</v>
      </c>
      <c r="B640" s="1">
        <v>24.0</v>
      </c>
      <c r="C640" s="1">
        <v>0.0</v>
      </c>
      <c r="D640" s="1">
        <v>0.0</v>
      </c>
      <c r="E640" s="1">
        <v>0.0</v>
      </c>
      <c r="F640" s="1">
        <v>0.0</v>
      </c>
    </row>
    <row r="641">
      <c r="A641" s="1" t="s">
        <v>238</v>
      </c>
      <c r="B641" s="1">
        <v>7.0</v>
      </c>
      <c r="C641" s="1">
        <v>0.0</v>
      </c>
      <c r="D641" s="1">
        <v>0.0</v>
      </c>
      <c r="E641" s="1">
        <v>0.0</v>
      </c>
      <c r="F641" s="1">
        <v>0.0</v>
      </c>
    </row>
    <row r="642">
      <c r="A642" s="1" t="s">
        <v>2046</v>
      </c>
      <c r="B642" s="1">
        <v>34.0</v>
      </c>
      <c r="C642" s="1">
        <v>0.0</v>
      </c>
      <c r="D642" s="1">
        <v>0.0</v>
      </c>
      <c r="E642" s="1">
        <v>0.0</v>
      </c>
      <c r="F642" s="1">
        <v>0.0</v>
      </c>
    </row>
    <row r="643">
      <c r="A643" s="1" t="s">
        <v>1078</v>
      </c>
      <c r="B643" s="1">
        <v>196.0</v>
      </c>
      <c r="C643" s="1">
        <v>1.0</v>
      </c>
      <c r="D643" s="1">
        <v>0.0</v>
      </c>
      <c r="E643" s="1">
        <v>0.0</v>
      </c>
      <c r="F643" s="1">
        <v>0.0</v>
      </c>
    </row>
    <row r="644">
      <c r="A644" s="1" t="s">
        <v>1261</v>
      </c>
      <c r="B644" s="1">
        <v>619.0</v>
      </c>
      <c r="C644" s="1">
        <v>10.0</v>
      </c>
      <c r="D644" s="1">
        <v>0.0</v>
      </c>
      <c r="E644" s="1">
        <v>1.0</v>
      </c>
      <c r="F644" s="1">
        <v>0.0</v>
      </c>
    </row>
    <row r="645">
      <c r="A645" s="1" t="s">
        <v>1057</v>
      </c>
      <c r="B645" s="1">
        <v>24.0</v>
      </c>
      <c r="C645" s="1">
        <v>0.0</v>
      </c>
      <c r="D645" s="1">
        <v>0.0</v>
      </c>
      <c r="E645" s="1">
        <v>0.0</v>
      </c>
      <c r="F645" s="1">
        <v>0.0</v>
      </c>
    </row>
    <row r="646">
      <c r="A646" s="1" t="s">
        <v>634</v>
      </c>
      <c r="B646" s="1">
        <v>73.0</v>
      </c>
      <c r="C646" s="1">
        <v>0.0</v>
      </c>
      <c r="D646" s="1">
        <v>0.0</v>
      </c>
      <c r="E646" s="1">
        <v>0.0</v>
      </c>
      <c r="F646" s="1">
        <v>0.0</v>
      </c>
    </row>
    <row r="647">
      <c r="A647" s="1" t="s">
        <v>268</v>
      </c>
      <c r="B647" s="1">
        <v>617.0</v>
      </c>
      <c r="C647" s="1">
        <v>9.0</v>
      </c>
      <c r="D647" s="1">
        <v>0.0</v>
      </c>
      <c r="E647" s="1">
        <v>1.0</v>
      </c>
      <c r="F647" s="1">
        <v>0.0</v>
      </c>
    </row>
    <row r="648">
      <c r="A648" s="1" t="s">
        <v>1479</v>
      </c>
      <c r="B648" s="1">
        <v>114.0</v>
      </c>
      <c r="C648" s="1">
        <v>0.0</v>
      </c>
      <c r="D648" s="1">
        <v>0.0</v>
      </c>
      <c r="E648" s="1">
        <v>0.0</v>
      </c>
      <c r="F648" s="1">
        <v>0.0</v>
      </c>
    </row>
    <row r="649">
      <c r="A649" s="1" t="s">
        <v>1399</v>
      </c>
      <c r="B649" s="1">
        <v>90.0</v>
      </c>
      <c r="C649" s="1">
        <v>0.0</v>
      </c>
      <c r="D649" s="1">
        <v>0.0</v>
      </c>
      <c r="E649" s="1">
        <v>0.0</v>
      </c>
      <c r="F649" s="1">
        <v>0.0</v>
      </c>
    </row>
    <row r="650">
      <c r="A650" s="1" t="s">
        <v>1940</v>
      </c>
      <c r="B650" s="1">
        <v>89.0</v>
      </c>
      <c r="C650" s="1">
        <v>0.0</v>
      </c>
      <c r="D650" s="1">
        <v>0.0</v>
      </c>
      <c r="E650" s="1">
        <v>0.0</v>
      </c>
      <c r="F650" s="1">
        <v>0.0</v>
      </c>
    </row>
    <row r="651">
      <c r="A651" s="1" t="s">
        <v>958</v>
      </c>
      <c r="B651" s="1">
        <v>37.0</v>
      </c>
      <c r="C651" s="1">
        <v>0.0</v>
      </c>
      <c r="D651" s="1">
        <v>0.0</v>
      </c>
      <c r="E651" s="1">
        <v>0.0</v>
      </c>
      <c r="F651" s="1">
        <v>0.0</v>
      </c>
    </row>
    <row r="652">
      <c r="A652" s="1" t="s">
        <v>841</v>
      </c>
      <c r="B652" s="1">
        <v>21.0</v>
      </c>
      <c r="C652" s="1">
        <v>0.0</v>
      </c>
      <c r="D652" s="1">
        <v>0.0</v>
      </c>
      <c r="E652" s="1">
        <v>0.0</v>
      </c>
      <c r="F652" s="1">
        <v>0.0</v>
      </c>
    </row>
    <row r="653">
      <c r="A653" s="1" t="s">
        <v>869</v>
      </c>
      <c r="B653" s="1">
        <v>65.0</v>
      </c>
      <c r="C653" s="1">
        <v>0.0</v>
      </c>
      <c r="D653" s="1">
        <v>0.0</v>
      </c>
      <c r="E653" s="1">
        <v>0.0</v>
      </c>
      <c r="F653" s="1">
        <v>0.0</v>
      </c>
    </row>
    <row r="654">
      <c r="A654" s="1" t="s">
        <v>326</v>
      </c>
      <c r="B654" s="1">
        <v>8.0</v>
      </c>
      <c r="C654" s="1">
        <v>0.0</v>
      </c>
      <c r="D654" s="1">
        <v>0.0</v>
      </c>
      <c r="E654" s="1">
        <v>0.0</v>
      </c>
      <c r="F654" s="1">
        <v>0.0</v>
      </c>
    </row>
    <row r="655">
      <c r="A655" s="1" t="s">
        <v>409</v>
      </c>
      <c r="B655" s="1">
        <v>14.0</v>
      </c>
      <c r="C655" s="1">
        <v>0.0</v>
      </c>
      <c r="D655" s="1">
        <v>0.0</v>
      </c>
      <c r="E655" s="1">
        <v>0.0</v>
      </c>
      <c r="F655" s="1">
        <v>0.0</v>
      </c>
    </row>
    <row r="656">
      <c r="A656" s="1" t="s">
        <v>944</v>
      </c>
      <c r="B656" s="1">
        <v>100.0</v>
      </c>
      <c r="C656" s="1">
        <v>0.0</v>
      </c>
      <c r="D656" s="1">
        <v>0.0</v>
      </c>
      <c r="E656" s="1">
        <v>0.0</v>
      </c>
      <c r="F656" s="1">
        <v>0.0</v>
      </c>
    </row>
    <row r="657">
      <c r="A657" s="1" t="s">
        <v>1826</v>
      </c>
      <c r="B657" s="1">
        <v>20.0</v>
      </c>
      <c r="C657" s="1">
        <v>0.0</v>
      </c>
      <c r="D657" s="1">
        <v>0.0</v>
      </c>
      <c r="E657" s="1">
        <v>0.0</v>
      </c>
      <c r="F657" s="1">
        <v>0.0</v>
      </c>
    </row>
    <row r="658">
      <c r="A658" s="1" t="s">
        <v>1661</v>
      </c>
      <c r="B658" s="1">
        <v>118.0</v>
      </c>
      <c r="C658" s="1">
        <v>0.0</v>
      </c>
      <c r="D658" s="1">
        <v>0.0</v>
      </c>
      <c r="E658" s="1">
        <v>0.0</v>
      </c>
      <c r="F658" s="1">
        <v>0.0</v>
      </c>
    </row>
    <row r="659">
      <c r="A659" s="1" t="s">
        <v>1767</v>
      </c>
      <c r="B659" s="1">
        <v>58.0</v>
      </c>
      <c r="C659" s="1">
        <v>0.0</v>
      </c>
      <c r="D659" s="1">
        <v>0.0</v>
      </c>
      <c r="E659" s="1">
        <v>0.0</v>
      </c>
      <c r="F659" s="1">
        <v>0.0</v>
      </c>
    </row>
    <row r="660">
      <c r="A660" s="1" t="s">
        <v>1212</v>
      </c>
      <c r="B660" s="1">
        <v>49.0</v>
      </c>
      <c r="C660" s="1">
        <v>0.0</v>
      </c>
      <c r="D660" s="1">
        <v>0.0</v>
      </c>
      <c r="E660" s="1">
        <v>0.0</v>
      </c>
      <c r="F660" s="1">
        <v>0.0</v>
      </c>
    </row>
    <row r="661">
      <c r="A661" s="1" t="s">
        <v>985</v>
      </c>
      <c r="B661" s="1">
        <v>20.0</v>
      </c>
      <c r="C661" s="1">
        <v>0.0</v>
      </c>
      <c r="D661" s="1">
        <v>0.0</v>
      </c>
      <c r="E661" s="1">
        <v>0.0</v>
      </c>
      <c r="F661" s="1">
        <v>0.0</v>
      </c>
    </row>
    <row r="662">
      <c r="A662" s="1" t="s">
        <v>1641</v>
      </c>
      <c r="B662" s="1">
        <v>12.0</v>
      </c>
      <c r="C662" s="1">
        <v>0.0</v>
      </c>
      <c r="D662" s="1">
        <v>0.0</v>
      </c>
      <c r="E662" s="1">
        <v>0.0</v>
      </c>
      <c r="F662" s="1">
        <v>0.0</v>
      </c>
    </row>
    <row r="663">
      <c r="A663" s="1" t="s">
        <v>1828</v>
      </c>
      <c r="B663" s="1">
        <v>90.0</v>
      </c>
      <c r="C663" s="1">
        <v>0.0</v>
      </c>
      <c r="D663" s="1">
        <v>0.0</v>
      </c>
      <c r="E663" s="1">
        <v>0.0</v>
      </c>
      <c r="F663" s="1">
        <v>0.0</v>
      </c>
    </row>
    <row r="664">
      <c r="A664" s="1" t="s">
        <v>522</v>
      </c>
      <c r="B664" s="1">
        <v>13.0</v>
      </c>
      <c r="C664" s="1">
        <v>0.0</v>
      </c>
      <c r="D664" s="1">
        <v>0.0</v>
      </c>
      <c r="E664" s="1">
        <v>0.0</v>
      </c>
      <c r="F664" s="1">
        <v>0.0</v>
      </c>
    </row>
    <row r="665">
      <c r="A665" s="1" t="s">
        <v>816</v>
      </c>
      <c r="B665" s="1">
        <v>4.0</v>
      </c>
      <c r="C665" s="1">
        <v>0.0</v>
      </c>
      <c r="D665" s="1">
        <v>0.0</v>
      </c>
      <c r="E665" s="1">
        <v>0.0</v>
      </c>
      <c r="F665" s="1">
        <v>0.0</v>
      </c>
    </row>
    <row r="666">
      <c r="A666" s="1" t="s">
        <v>786</v>
      </c>
      <c r="B666" s="1">
        <v>33.0</v>
      </c>
      <c r="C666" s="1">
        <v>0.0</v>
      </c>
      <c r="D666" s="1">
        <v>0.0</v>
      </c>
      <c r="E666" s="1">
        <v>0.0</v>
      </c>
      <c r="F666" s="1">
        <v>0.0</v>
      </c>
    </row>
    <row r="667">
      <c r="A667" s="1" t="s">
        <v>1263</v>
      </c>
      <c r="B667" s="1">
        <v>873.0</v>
      </c>
      <c r="C667" s="1">
        <v>27.0</v>
      </c>
      <c r="D667" s="1">
        <v>1.0</v>
      </c>
      <c r="E667" s="1">
        <v>4.0</v>
      </c>
      <c r="F667" s="1">
        <v>1.0</v>
      </c>
    </row>
    <row r="668">
      <c r="A668" s="1" t="s">
        <v>1577</v>
      </c>
      <c r="B668" s="1">
        <v>18.0</v>
      </c>
      <c r="C668" s="1">
        <v>0.0</v>
      </c>
      <c r="D668" s="1">
        <v>0.0</v>
      </c>
      <c r="E668" s="1">
        <v>0.0</v>
      </c>
      <c r="F668" s="1">
        <v>0.0</v>
      </c>
    </row>
    <row r="669">
      <c r="A669" s="1" t="s">
        <v>1801</v>
      </c>
      <c r="B669" s="1">
        <v>34.0</v>
      </c>
      <c r="C669" s="1">
        <v>0.0</v>
      </c>
      <c r="D669" s="1">
        <v>0.0</v>
      </c>
      <c r="E669" s="1">
        <v>0.0</v>
      </c>
      <c r="F669" s="1">
        <v>0.0</v>
      </c>
    </row>
    <row r="670">
      <c r="A670" s="1" t="s">
        <v>1794</v>
      </c>
      <c r="B670" s="1">
        <v>42.0</v>
      </c>
      <c r="C670" s="1">
        <v>0.0</v>
      </c>
      <c r="D670" s="1">
        <v>0.0</v>
      </c>
      <c r="E670" s="1">
        <v>0.0</v>
      </c>
      <c r="F670" s="1">
        <v>0.0</v>
      </c>
    </row>
    <row r="671">
      <c r="A671" s="1" t="s">
        <v>2091</v>
      </c>
      <c r="B671" s="1">
        <v>27.0</v>
      </c>
      <c r="C671" s="1">
        <v>0.0</v>
      </c>
      <c r="D671" s="1">
        <v>0.0</v>
      </c>
      <c r="E671" s="1">
        <v>0.0</v>
      </c>
      <c r="F671" s="1">
        <v>0.0</v>
      </c>
    </row>
    <row r="672">
      <c r="A672" s="1" t="s">
        <v>1676</v>
      </c>
      <c r="B672" s="1">
        <v>9.0</v>
      </c>
      <c r="C672" s="1">
        <v>0.0</v>
      </c>
      <c r="D672" s="1">
        <v>0.0</v>
      </c>
      <c r="E672" s="1">
        <v>0.0</v>
      </c>
      <c r="F672" s="1">
        <v>0.0</v>
      </c>
    </row>
    <row r="673">
      <c r="A673" s="1" t="s">
        <v>742</v>
      </c>
      <c r="B673" s="1">
        <v>99.0</v>
      </c>
      <c r="C673" s="1">
        <v>0.0</v>
      </c>
      <c r="D673" s="1">
        <v>0.0</v>
      </c>
      <c r="E673" s="1">
        <v>0.0</v>
      </c>
      <c r="F673" s="1">
        <v>0.0</v>
      </c>
    </row>
    <row r="674">
      <c r="A674" s="1" t="s">
        <v>1553</v>
      </c>
      <c r="B674" s="1">
        <v>14.0</v>
      </c>
      <c r="C674" s="1">
        <v>0.0</v>
      </c>
      <c r="D674" s="1">
        <v>0.0</v>
      </c>
      <c r="E674" s="1">
        <v>0.0</v>
      </c>
      <c r="F674" s="1">
        <v>0.0</v>
      </c>
    </row>
    <row r="675">
      <c r="A675" s="1" t="s">
        <v>1021</v>
      </c>
      <c r="B675" s="1">
        <v>22.0</v>
      </c>
      <c r="C675" s="1">
        <v>0.0</v>
      </c>
      <c r="D675" s="1">
        <v>0.0</v>
      </c>
      <c r="E675" s="1">
        <v>0.0</v>
      </c>
      <c r="F675" s="1">
        <v>0.0</v>
      </c>
    </row>
    <row r="676">
      <c r="A676" s="1" t="s">
        <v>1845</v>
      </c>
      <c r="B676" s="1">
        <v>31.0</v>
      </c>
      <c r="C676" s="1">
        <v>0.0</v>
      </c>
      <c r="D676" s="1">
        <v>0.0</v>
      </c>
      <c r="E676" s="1">
        <v>0.0</v>
      </c>
      <c r="F676" s="1">
        <v>0.0</v>
      </c>
    </row>
    <row r="677">
      <c r="A677" s="1" t="s">
        <v>1844</v>
      </c>
      <c r="B677" s="1">
        <v>15.0</v>
      </c>
      <c r="C677" s="1">
        <v>0.0</v>
      </c>
      <c r="D677" s="1">
        <v>0.0</v>
      </c>
      <c r="E677" s="1">
        <v>0.0</v>
      </c>
      <c r="F677" s="1">
        <v>0.0</v>
      </c>
    </row>
    <row r="678">
      <c r="A678" s="1" t="s">
        <v>2036</v>
      </c>
      <c r="B678" s="1">
        <v>138.0</v>
      </c>
      <c r="C678" s="1">
        <v>0.0</v>
      </c>
      <c r="D678" s="1">
        <v>0.0</v>
      </c>
      <c r="E678" s="1">
        <v>0.0</v>
      </c>
      <c r="F678" s="1">
        <v>0.0</v>
      </c>
    </row>
    <row r="679">
      <c r="A679" s="1" t="s">
        <v>639</v>
      </c>
      <c r="B679" s="1">
        <v>178.0</v>
      </c>
      <c r="C679" s="1">
        <v>1.0</v>
      </c>
      <c r="D679" s="1">
        <v>0.0</v>
      </c>
      <c r="E679" s="1">
        <v>0.0</v>
      </c>
      <c r="F679" s="1">
        <v>0.0</v>
      </c>
    </row>
    <row r="680">
      <c r="A680" s="1" t="s">
        <v>498</v>
      </c>
      <c r="B680" s="1">
        <v>18.0</v>
      </c>
      <c r="C680" s="1">
        <v>0.0</v>
      </c>
      <c r="D680" s="1">
        <v>0.0</v>
      </c>
      <c r="E680" s="1">
        <v>0.0</v>
      </c>
      <c r="F680" s="1">
        <v>0.0</v>
      </c>
    </row>
    <row r="681">
      <c r="A681" s="1" t="s">
        <v>192</v>
      </c>
      <c r="B681" s="1">
        <v>37.0</v>
      </c>
      <c r="C681" s="1">
        <v>0.0</v>
      </c>
      <c r="D681" s="1">
        <v>0.0</v>
      </c>
      <c r="E681" s="1">
        <v>0.0</v>
      </c>
      <c r="F681" s="1">
        <v>0.0</v>
      </c>
    </row>
    <row r="682">
      <c r="A682" s="1" t="s">
        <v>1908</v>
      </c>
      <c r="B682" s="1">
        <v>63.0</v>
      </c>
      <c r="C682" s="1">
        <v>0.0</v>
      </c>
      <c r="D682" s="1">
        <v>0.0</v>
      </c>
      <c r="E682" s="1">
        <v>0.0</v>
      </c>
      <c r="F682" s="1">
        <v>0.0</v>
      </c>
    </row>
    <row r="683">
      <c r="A683" s="1" t="s">
        <v>441</v>
      </c>
      <c r="B683" s="1">
        <v>19.0</v>
      </c>
      <c r="C683" s="1">
        <v>0.0</v>
      </c>
      <c r="D683" s="1">
        <v>0.0</v>
      </c>
      <c r="E683" s="1">
        <v>0.0</v>
      </c>
      <c r="F683" s="1">
        <v>0.0</v>
      </c>
    </row>
    <row r="684">
      <c r="A684" s="1" t="s">
        <v>2014</v>
      </c>
      <c r="B684" s="1">
        <v>34.0</v>
      </c>
      <c r="C684" s="1">
        <v>0.0</v>
      </c>
      <c r="D684" s="1">
        <v>0.0</v>
      </c>
      <c r="E684" s="1">
        <v>0.0</v>
      </c>
      <c r="F684" s="1">
        <v>0.0</v>
      </c>
    </row>
    <row r="685">
      <c r="A685" s="1" t="s">
        <v>823</v>
      </c>
      <c r="B685" s="1">
        <v>41.0</v>
      </c>
      <c r="C685" s="1">
        <v>0.0</v>
      </c>
      <c r="D685" s="1">
        <v>0.0</v>
      </c>
      <c r="E685" s="1">
        <v>0.0</v>
      </c>
      <c r="F685" s="1">
        <v>0.0</v>
      </c>
    </row>
    <row r="686">
      <c r="A686" s="1" t="s">
        <v>1326</v>
      </c>
      <c r="B686" s="1">
        <v>32.0</v>
      </c>
      <c r="C686" s="1">
        <v>0.0</v>
      </c>
      <c r="D686" s="1">
        <v>0.0</v>
      </c>
      <c r="E686" s="1">
        <v>0.0</v>
      </c>
      <c r="F686" s="1">
        <v>0.0</v>
      </c>
    </row>
    <row r="687">
      <c r="A687" s="1" t="s">
        <v>1476</v>
      </c>
      <c r="B687" s="1">
        <v>10.0</v>
      </c>
      <c r="C687" s="1">
        <v>0.0</v>
      </c>
      <c r="D687" s="1">
        <v>0.0</v>
      </c>
      <c r="E687" s="1">
        <v>0.0</v>
      </c>
      <c r="F687" s="1">
        <v>0.0</v>
      </c>
    </row>
    <row r="688">
      <c r="A688" s="1" t="s">
        <v>1389</v>
      </c>
      <c r="B688" s="1">
        <v>20.0</v>
      </c>
      <c r="C688" s="1">
        <v>0.0</v>
      </c>
      <c r="D688" s="1">
        <v>0.0</v>
      </c>
      <c r="E688" s="1">
        <v>0.0</v>
      </c>
      <c r="F688" s="1">
        <v>0.0</v>
      </c>
    </row>
    <row r="689">
      <c r="A689" s="1" t="s">
        <v>1982</v>
      </c>
      <c r="B689" s="1">
        <v>90.0</v>
      </c>
      <c r="C689" s="1">
        <v>0.0</v>
      </c>
      <c r="D689" s="1">
        <v>0.0</v>
      </c>
      <c r="E689" s="1">
        <v>0.0</v>
      </c>
      <c r="F689" s="1">
        <v>0.0</v>
      </c>
    </row>
    <row r="690">
      <c r="A690" s="1" t="s">
        <v>471</v>
      </c>
      <c r="B690" s="1">
        <v>9.0</v>
      </c>
      <c r="C690" s="1">
        <v>0.0</v>
      </c>
      <c r="D690" s="1">
        <v>0.0</v>
      </c>
      <c r="E690" s="1">
        <v>0.0</v>
      </c>
      <c r="F690" s="1">
        <v>0.0</v>
      </c>
    </row>
    <row r="691">
      <c r="A691" s="1" t="s">
        <v>1513</v>
      </c>
      <c r="B691" s="1">
        <v>42.0</v>
      </c>
      <c r="C691" s="1">
        <v>0.0</v>
      </c>
      <c r="D691" s="1">
        <v>0.0</v>
      </c>
      <c r="E691" s="1">
        <v>0.0</v>
      </c>
      <c r="F691" s="1">
        <v>0.0</v>
      </c>
    </row>
    <row r="692">
      <c r="A692" s="1" t="s">
        <v>2038</v>
      </c>
      <c r="B692" s="1">
        <v>113.0</v>
      </c>
      <c r="C692" s="1">
        <v>0.0</v>
      </c>
      <c r="D692" s="1">
        <v>0.0</v>
      </c>
      <c r="E692" s="1">
        <v>0.0</v>
      </c>
      <c r="F692" s="1">
        <v>0.0</v>
      </c>
    </row>
    <row r="693">
      <c r="A693" s="1" t="s">
        <v>1911</v>
      </c>
      <c r="B693" s="1">
        <v>192.0</v>
      </c>
      <c r="C693" s="1">
        <v>0.0</v>
      </c>
      <c r="D693" s="1">
        <v>0.0</v>
      </c>
      <c r="E693" s="1">
        <v>0.0</v>
      </c>
      <c r="F693" s="1">
        <v>0.0</v>
      </c>
    </row>
    <row r="694">
      <c r="A694" s="1" t="s">
        <v>774</v>
      </c>
      <c r="B694" s="1">
        <v>56.0</v>
      </c>
      <c r="C694" s="1">
        <v>0.0</v>
      </c>
      <c r="D694" s="1">
        <v>0.0</v>
      </c>
      <c r="E694" s="1">
        <v>0.0</v>
      </c>
      <c r="F694" s="1">
        <v>0.0</v>
      </c>
    </row>
    <row r="695">
      <c r="A695" s="1" t="s">
        <v>827</v>
      </c>
      <c r="B695" s="1">
        <v>103.0</v>
      </c>
      <c r="C695" s="1">
        <v>0.0</v>
      </c>
      <c r="D695" s="1">
        <v>0.0</v>
      </c>
      <c r="E695" s="1">
        <v>0.0</v>
      </c>
      <c r="F695" s="1">
        <v>0.0</v>
      </c>
    </row>
    <row r="696">
      <c r="A696" s="1" t="s">
        <v>733</v>
      </c>
      <c r="B696" s="1">
        <v>70.0</v>
      </c>
      <c r="C696" s="1">
        <v>0.0</v>
      </c>
      <c r="D696" s="1">
        <v>0.0</v>
      </c>
      <c r="E696" s="1">
        <v>0.0</v>
      </c>
      <c r="F696" s="1">
        <v>0.0</v>
      </c>
    </row>
    <row r="697">
      <c r="A697" s="1" t="s">
        <v>1159</v>
      </c>
      <c r="B697" s="1">
        <v>46.0</v>
      </c>
      <c r="C697" s="1">
        <v>0.0</v>
      </c>
      <c r="D697" s="1">
        <v>0.0</v>
      </c>
      <c r="E697" s="1">
        <v>0.0</v>
      </c>
      <c r="F697" s="1">
        <v>0.0</v>
      </c>
    </row>
    <row r="698">
      <c r="A698" s="1" t="s">
        <v>342</v>
      </c>
      <c r="B698" s="1">
        <v>34.0</v>
      </c>
      <c r="C698" s="1">
        <v>0.0</v>
      </c>
      <c r="D698" s="1">
        <v>0.0</v>
      </c>
      <c r="E698" s="1">
        <v>0.0</v>
      </c>
      <c r="F698" s="1">
        <v>0.0</v>
      </c>
    </row>
    <row r="699">
      <c r="A699" s="1" t="s">
        <v>819</v>
      </c>
      <c r="B699" s="1">
        <v>15.0</v>
      </c>
      <c r="C699" s="1">
        <v>0.0</v>
      </c>
      <c r="D699" s="1">
        <v>0.0</v>
      </c>
      <c r="E699" s="1">
        <v>0.0</v>
      </c>
      <c r="F699" s="1">
        <v>0.0</v>
      </c>
    </row>
    <row r="700">
      <c r="A700" s="1" t="s">
        <v>1264</v>
      </c>
      <c r="B700" s="1">
        <v>73.0</v>
      </c>
      <c r="C700" s="1">
        <v>0.0</v>
      </c>
      <c r="D700" s="1">
        <v>0.0</v>
      </c>
      <c r="E700" s="1">
        <v>0.0</v>
      </c>
      <c r="F700" s="1">
        <v>0.0</v>
      </c>
    </row>
    <row r="701">
      <c r="A701" s="1" t="s">
        <v>1084</v>
      </c>
      <c r="B701" s="1">
        <v>26.0</v>
      </c>
      <c r="C701" s="1">
        <v>0.0</v>
      </c>
      <c r="D701" s="1">
        <v>0.0</v>
      </c>
      <c r="E701" s="1">
        <v>0.0</v>
      </c>
      <c r="F701" s="1">
        <v>0.0</v>
      </c>
    </row>
    <row r="702">
      <c r="A702" s="1" t="s">
        <v>1678</v>
      </c>
      <c r="B702" s="1">
        <v>24.0</v>
      </c>
      <c r="C702" s="1">
        <v>0.0</v>
      </c>
      <c r="D702" s="1">
        <v>0.0</v>
      </c>
      <c r="E702" s="1">
        <v>0.0</v>
      </c>
      <c r="F702" s="1">
        <v>0.0</v>
      </c>
    </row>
    <row r="703">
      <c r="A703" s="1" t="s">
        <v>1037</v>
      </c>
      <c r="B703" s="1">
        <v>51.0</v>
      </c>
      <c r="C703" s="1">
        <v>0.0</v>
      </c>
      <c r="D703" s="1">
        <v>0.0</v>
      </c>
      <c r="E703" s="1">
        <v>0.0</v>
      </c>
      <c r="F703" s="1">
        <v>0.0</v>
      </c>
    </row>
    <row r="704">
      <c r="A704" s="1" t="s">
        <v>1607</v>
      </c>
      <c r="B704" s="1">
        <v>10.0</v>
      </c>
      <c r="C704" s="1">
        <v>0.0</v>
      </c>
      <c r="D704" s="1">
        <v>0.0</v>
      </c>
      <c r="E704" s="1">
        <v>0.0</v>
      </c>
      <c r="F704" s="1">
        <v>0.0</v>
      </c>
    </row>
    <row r="705">
      <c r="A705" s="1" t="s">
        <v>623</v>
      </c>
      <c r="B705" s="1">
        <v>251.0</v>
      </c>
      <c r="C705" s="1">
        <v>3.0</v>
      </c>
      <c r="D705" s="1">
        <v>0.0</v>
      </c>
      <c r="E705" s="1">
        <v>0.0</v>
      </c>
      <c r="F705" s="1">
        <v>0.0</v>
      </c>
    </row>
    <row r="706">
      <c r="A706" s="1" t="s">
        <v>882</v>
      </c>
      <c r="B706" s="1">
        <v>36.0</v>
      </c>
      <c r="C706" s="1">
        <v>0.0</v>
      </c>
      <c r="D706" s="1">
        <v>0.0</v>
      </c>
      <c r="E706" s="1">
        <v>0.0</v>
      </c>
      <c r="F706" s="1">
        <v>0.0</v>
      </c>
    </row>
    <row r="707">
      <c r="A707" s="1" t="s">
        <v>959</v>
      </c>
      <c r="B707" s="1">
        <v>36.0</v>
      </c>
      <c r="C707" s="1">
        <v>0.0</v>
      </c>
      <c r="D707" s="1">
        <v>0.0</v>
      </c>
      <c r="E707" s="1">
        <v>0.0</v>
      </c>
      <c r="F707" s="1">
        <v>0.0</v>
      </c>
    </row>
    <row r="708">
      <c r="A708" s="1" t="s">
        <v>1865</v>
      </c>
      <c r="B708" s="1">
        <v>264.0</v>
      </c>
      <c r="C708" s="1">
        <v>1.0</v>
      </c>
      <c r="D708" s="1">
        <v>0.0</v>
      </c>
      <c r="E708" s="1">
        <v>0.0</v>
      </c>
      <c r="F708" s="1">
        <v>0.0</v>
      </c>
    </row>
    <row r="709">
      <c r="A709" s="1" t="s">
        <v>1315</v>
      </c>
      <c r="B709" s="1">
        <v>436.0</v>
      </c>
      <c r="C709" s="1">
        <v>7.0</v>
      </c>
      <c r="D709" s="1">
        <v>0.0</v>
      </c>
      <c r="E709" s="1">
        <v>1.0</v>
      </c>
      <c r="F709" s="1">
        <v>0.0</v>
      </c>
    </row>
    <row r="710">
      <c r="A710" s="1" t="s">
        <v>338</v>
      </c>
      <c r="B710" s="1">
        <v>34.0</v>
      </c>
      <c r="C710" s="1">
        <v>0.0</v>
      </c>
      <c r="D710" s="1">
        <v>0.0</v>
      </c>
      <c r="E710" s="1">
        <v>0.0</v>
      </c>
      <c r="F710" s="1">
        <v>0.0</v>
      </c>
    </row>
    <row r="711">
      <c r="A711" s="1" t="s">
        <v>928</v>
      </c>
      <c r="B711" s="1">
        <v>22.0</v>
      </c>
      <c r="C711" s="1">
        <v>0.0</v>
      </c>
      <c r="D711" s="1">
        <v>0.0</v>
      </c>
      <c r="E711" s="1">
        <v>0.0</v>
      </c>
      <c r="F711" s="1">
        <v>0.0</v>
      </c>
    </row>
    <row r="712">
      <c r="A712" s="1" t="s">
        <v>588</v>
      </c>
      <c r="B712" s="1">
        <v>68.0</v>
      </c>
      <c r="C712" s="1">
        <v>0.0</v>
      </c>
      <c r="D712" s="1">
        <v>0.0</v>
      </c>
      <c r="E712" s="1">
        <v>0.0</v>
      </c>
      <c r="F712" s="1">
        <v>0.0</v>
      </c>
    </row>
    <row r="713">
      <c r="A713" s="1" t="s">
        <v>1110</v>
      </c>
      <c r="B713" s="1">
        <v>119.0</v>
      </c>
      <c r="C713" s="1">
        <v>0.0</v>
      </c>
      <c r="D713" s="1">
        <v>0.0</v>
      </c>
      <c r="E713" s="1">
        <v>0.0</v>
      </c>
      <c r="F713" s="1">
        <v>0.0</v>
      </c>
    </row>
    <row r="714">
      <c r="A714" s="1" t="s">
        <v>1216</v>
      </c>
      <c r="B714" s="1">
        <v>30.0</v>
      </c>
      <c r="C714" s="1">
        <v>0.0</v>
      </c>
      <c r="D714" s="1">
        <v>0.0</v>
      </c>
      <c r="E714" s="1">
        <v>0.0</v>
      </c>
      <c r="F714" s="1">
        <v>0.0</v>
      </c>
    </row>
    <row r="715">
      <c r="A715" s="1" t="s">
        <v>1140</v>
      </c>
      <c r="B715" s="1">
        <v>16.0</v>
      </c>
      <c r="C715" s="1">
        <v>0.0</v>
      </c>
      <c r="D715" s="1">
        <v>0.0</v>
      </c>
      <c r="E715" s="1">
        <v>0.0</v>
      </c>
      <c r="F715" s="1">
        <v>0.0</v>
      </c>
    </row>
    <row r="716">
      <c r="A716" s="1" t="s">
        <v>1431</v>
      </c>
      <c r="B716" s="1">
        <v>2.0</v>
      </c>
      <c r="C716" s="1">
        <v>0.0</v>
      </c>
      <c r="D716" s="1">
        <v>0.0</v>
      </c>
      <c r="E716" s="1">
        <v>0.0</v>
      </c>
      <c r="F716" s="1">
        <v>0.0</v>
      </c>
    </row>
    <row r="717">
      <c r="A717" s="1" t="s">
        <v>1367</v>
      </c>
      <c r="B717" s="1">
        <v>34.0</v>
      </c>
      <c r="C717" s="1">
        <v>0.0</v>
      </c>
      <c r="D717" s="1">
        <v>0.0</v>
      </c>
      <c r="E717" s="1">
        <v>0.0</v>
      </c>
      <c r="F717" s="1">
        <v>0.0</v>
      </c>
    </row>
    <row r="718">
      <c r="A718" s="1" t="s">
        <v>1733</v>
      </c>
      <c r="B718" s="1">
        <v>28.0</v>
      </c>
      <c r="C718" s="1">
        <v>0.0</v>
      </c>
      <c r="D718" s="1">
        <v>0.0</v>
      </c>
      <c r="E718" s="1">
        <v>0.0</v>
      </c>
      <c r="F718" s="1">
        <v>0.0</v>
      </c>
    </row>
    <row r="719">
      <c r="A719" s="1" t="s">
        <v>839</v>
      </c>
      <c r="B719" s="1">
        <v>1128.0</v>
      </c>
      <c r="C719" s="1">
        <v>3.0</v>
      </c>
      <c r="D719" s="1">
        <v>0.0</v>
      </c>
      <c r="E719" s="1">
        <v>1.0</v>
      </c>
      <c r="F719" s="1">
        <v>0.0</v>
      </c>
    </row>
    <row r="720">
      <c r="A720" s="1" t="s">
        <v>505</v>
      </c>
      <c r="B720" s="1">
        <v>33.0</v>
      </c>
      <c r="C720" s="1">
        <v>0.0</v>
      </c>
      <c r="D720" s="1">
        <v>0.0</v>
      </c>
      <c r="E720" s="1">
        <v>0.0</v>
      </c>
      <c r="F720" s="1">
        <v>0.0</v>
      </c>
    </row>
    <row r="721">
      <c r="A721" s="1" t="s">
        <v>832</v>
      </c>
      <c r="B721" s="1">
        <v>87.0</v>
      </c>
      <c r="C721" s="1">
        <v>0.0</v>
      </c>
      <c r="D721" s="1">
        <v>0.0</v>
      </c>
      <c r="E721" s="1">
        <v>0.0</v>
      </c>
      <c r="F721" s="1">
        <v>0.0</v>
      </c>
    </row>
    <row r="722">
      <c r="A722" s="1" t="s">
        <v>1185</v>
      </c>
      <c r="B722" s="1">
        <v>21.0</v>
      </c>
      <c r="C722" s="1">
        <v>0.0</v>
      </c>
      <c r="D722" s="1">
        <v>0.0</v>
      </c>
      <c r="E722" s="1">
        <v>0.0</v>
      </c>
      <c r="F722" s="1">
        <v>0.0</v>
      </c>
    </row>
    <row r="723">
      <c r="A723" s="1" t="s">
        <v>652</v>
      </c>
      <c r="B723" s="1">
        <v>62.0</v>
      </c>
      <c r="C723" s="1">
        <v>0.0</v>
      </c>
      <c r="D723" s="1">
        <v>0.0</v>
      </c>
      <c r="E723" s="1">
        <v>0.0</v>
      </c>
      <c r="F723" s="1">
        <v>0.0</v>
      </c>
    </row>
    <row r="724">
      <c r="A724" s="1" t="s">
        <v>1480</v>
      </c>
      <c r="B724" s="1">
        <v>7.0</v>
      </c>
      <c r="C724" s="1">
        <v>0.0</v>
      </c>
      <c r="D724" s="1">
        <v>0.0</v>
      </c>
      <c r="E724" s="1">
        <v>0.0</v>
      </c>
      <c r="F724" s="1">
        <v>0.0</v>
      </c>
    </row>
    <row r="725">
      <c r="A725" s="1" t="s">
        <v>274</v>
      </c>
      <c r="B725" s="1">
        <v>11.0</v>
      </c>
      <c r="C725" s="1">
        <v>0.0</v>
      </c>
      <c r="D725" s="1">
        <v>0.0</v>
      </c>
      <c r="E725" s="1">
        <v>0.0</v>
      </c>
      <c r="F725" s="1">
        <v>0.0</v>
      </c>
    </row>
    <row r="726">
      <c r="A726" s="1" t="s">
        <v>776</v>
      </c>
      <c r="B726" s="1">
        <v>76.0</v>
      </c>
      <c r="C726" s="1">
        <v>0.0</v>
      </c>
      <c r="D726" s="1">
        <v>0.0</v>
      </c>
      <c r="E726" s="1">
        <v>0.0</v>
      </c>
      <c r="F726" s="1">
        <v>0.0</v>
      </c>
    </row>
    <row r="727">
      <c r="A727" s="1" t="s">
        <v>1099</v>
      </c>
      <c r="B727" s="1">
        <v>6.0</v>
      </c>
      <c r="C727" s="1">
        <v>0.0</v>
      </c>
      <c r="D727" s="1">
        <v>0.0</v>
      </c>
      <c r="E727" s="1">
        <v>0.0</v>
      </c>
      <c r="F727" s="1">
        <v>0.0</v>
      </c>
    </row>
    <row r="728">
      <c r="A728" s="1" t="s">
        <v>1725</v>
      </c>
      <c r="B728" s="1">
        <v>24.0</v>
      </c>
      <c r="C728" s="1">
        <v>0.0</v>
      </c>
      <c r="D728" s="1">
        <v>0.0</v>
      </c>
      <c r="E728" s="1">
        <v>0.0</v>
      </c>
      <c r="F728" s="1">
        <v>0.0</v>
      </c>
    </row>
    <row r="729">
      <c r="A729" s="1" t="s">
        <v>1807</v>
      </c>
      <c r="B729" s="1">
        <v>269.0</v>
      </c>
      <c r="C729" s="1">
        <v>0.0</v>
      </c>
      <c r="D729" s="1">
        <v>0.0</v>
      </c>
      <c r="E729" s="1">
        <v>0.0</v>
      </c>
      <c r="F729" s="1">
        <v>0.0</v>
      </c>
    </row>
    <row r="730">
      <c r="A730" s="1" t="s">
        <v>1989</v>
      </c>
      <c r="B730" s="1">
        <v>65.0</v>
      </c>
      <c r="C730" s="1">
        <v>0.0</v>
      </c>
      <c r="D730" s="1">
        <v>0.0</v>
      </c>
      <c r="E730" s="1">
        <v>0.0</v>
      </c>
      <c r="F730" s="1">
        <v>0.0</v>
      </c>
    </row>
    <row r="731">
      <c r="A731" s="1" t="s">
        <v>612</v>
      </c>
      <c r="B731" s="1">
        <v>37.0</v>
      </c>
      <c r="C731" s="1">
        <v>0.0</v>
      </c>
      <c r="D731" s="1">
        <v>0.0</v>
      </c>
      <c r="E731" s="1">
        <v>0.0</v>
      </c>
      <c r="F731" s="1">
        <v>0.0</v>
      </c>
    </row>
    <row r="732">
      <c r="A732" s="1" t="s">
        <v>663</v>
      </c>
      <c r="B732" s="1">
        <v>55.0</v>
      </c>
      <c r="C732" s="1">
        <v>0.0</v>
      </c>
      <c r="D732" s="1">
        <v>0.0</v>
      </c>
      <c r="E732" s="1">
        <v>0.0</v>
      </c>
      <c r="F732" s="1">
        <v>0.0</v>
      </c>
    </row>
    <row r="733">
      <c r="A733" s="1" t="s">
        <v>1205</v>
      </c>
      <c r="B733" s="1">
        <v>73.0</v>
      </c>
      <c r="C733" s="1">
        <v>0.0</v>
      </c>
      <c r="D733" s="1">
        <v>0.0</v>
      </c>
      <c r="E733" s="1">
        <v>0.0</v>
      </c>
      <c r="F733" s="1">
        <v>0.0</v>
      </c>
    </row>
    <row r="734">
      <c r="A734" s="1" t="s">
        <v>1645</v>
      </c>
      <c r="B734" s="1">
        <v>34.0</v>
      </c>
      <c r="C734" s="1">
        <v>0.0</v>
      </c>
      <c r="D734" s="1">
        <v>0.0</v>
      </c>
      <c r="E734" s="1">
        <v>0.0</v>
      </c>
      <c r="F734" s="1">
        <v>0.0</v>
      </c>
    </row>
    <row r="735">
      <c r="A735" s="1" t="s">
        <v>1268</v>
      </c>
      <c r="B735" s="1">
        <v>9.0</v>
      </c>
      <c r="C735" s="1">
        <v>0.0</v>
      </c>
      <c r="D735" s="1">
        <v>0.0</v>
      </c>
      <c r="E735" s="1">
        <v>0.0</v>
      </c>
      <c r="F735" s="1">
        <v>0.0</v>
      </c>
    </row>
    <row r="736">
      <c r="A736" s="1" t="s">
        <v>416</v>
      </c>
      <c r="B736" s="1">
        <v>98.0</v>
      </c>
      <c r="C736" s="1">
        <v>0.0</v>
      </c>
      <c r="D736" s="1">
        <v>0.0</v>
      </c>
      <c r="E736" s="1">
        <v>0.0</v>
      </c>
      <c r="F736" s="1">
        <v>0.0</v>
      </c>
    </row>
    <row r="737">
      <c r="A737" s="1" t="s">
        <v>269</v>
      </c>
      <c r="B737" s="1">
        <v>25.0</v>
      </c>
      <c r="C737" s="1">
        <v>0.0</v>
      </c>
      <c r="D737" s="1">
        <v>0.0</v>
      </c>
      <c r="E737" s="1">
        <v>0.0</v>
      </c>
      <c r="F737" s="1">
        <v>0.0</v>
      </c>
    </row>
    <row r="738">
      <c r="A738" s="1" t="s">
        <v>1259</v>
      </c>
      <c r="B738" s="1">
        <v>18.0</v>
      </c>
      <c r="C738" s="1">
        <v>0.0</v>
      </c>
      <c r="D738" s="1">
        <v>0.0</v>
      </c>
      <c r="E738" s="1">
        <v>0.0</v>
      </c>
      <c r="F738" s="1">
        <v>0.0</v>
      </c>
    </row>
    <row r="739">
      <c r="A739" s="1" t="s">
        <v>1663</v>
      </c>
      <c r="B739" s="1">
        <v>15.0</v>
      </c>
      <c r="C739" s="1">
        <v>0.0</v>
      </c>
      <c r="D739" s="1">
        <v>0.0</v>
      </c>
      <c r="E739" s="1">
        <v>0.0</v>
      </c>
      <c r="F739" s="1">
        <v>0.0</v>
      </c>
    </row>
    <row r="740">
      <c r="A740" s="1" t="s">
        <v>828</v>
      </c>
      <c r="B740" s="1">
        <v>257.0</v>
      </c>
      <c r="C740" s="1">
        <v>1.0</v>
      </c>
      <c r="D740" s="1">
        <v>0.0</v>
      </c>
      <c r="E740" s="1">
        <v>0.0</v>
      </c>
      <c r="F740" s="1">
        <v>0.0</v>
      </c>
    </row>
    <row r="741">
      <c r="A741" s="1" t="s">
        <v>1615</v>
      </c>
      <c r="B741" s="1">
        <v>30.0</v>
      </c>
      <c r="C741" s="1">
        <v>0.0</v>
      </c>
      <c r="D741" s="1">
        <v>0.0</v>
      </c>
      <c r="E741" s="1">
        <v>0.0</v>
      </c>
      <c r="F741" s="1">
        <v>0.0</v>
      </c>
    </row>
    <row r="742">
      <c r="A742" s="1" t="s">
        <v>1713</v>
      </c>
      <c r="B742" s="1">
        <v>134.0</v>
      </c>
      <c r="C742" s="1">
        <v>0.0</v>
      </c>
      <c r="D742" s="1">
        <v>0.0</v>
      </c>
      <c r="E742" s="1">
        <v>0.0</v>
      </c>
      <c r="F742" s="1">
        <v>0.0</v>
      </c>
    </row>
    <row r="743">
      <c r="A743" s="1" t="s">
        <v>1512</v>
      </c>
      <c r="B743" s="1">
        <v>31.0</v>
      </c>
      <c r="C743" s="1">
        <v>0.0</v>
      </c>
      <c r="D743" s="1">
        <v>0.0</v>
      </c>
      <c r="E743" s="1">
        <v>0.0</v>
      </c>
      <c r="F743" s="1">
        <v>0.0</v>
      </c>
    </row>
    <row r="744">
      <c r="A744" s="1" t="s">
        <v>681</v>
      </c>
      <c r="B744" s="1">
        <v>34.0</v>
      </c>
      <c r="C744" s="1">
        <v>0.0</v>
      </c>
      <c r="D744" s="1">
        <v>0.0</v>
      </c>
      <c r="E744" s="1">
        <v>0.0</v>
      </c>
      <c r="F744" s="1">
        <v>0.0</v>
      </c>
    </row>
    <row r="745">
      <c r="A745" s="1" t="s">
        <v>1612</v>
      </c>
      <c r="B745" s="1">
        <v>44.0</v>
      </c>
      <c r="C745" s="1">
        <v>0.0</v>
      </c>
      <c r="D745" s="1">
        <v>0.0</v>
      </c>
      <c r="E745" s="1">
        <v>0.0</v>
      </c>
      <c r="F745" s="1">
        <v>0.0</v>
      </c>
    </row>
    <row r="746">
      <c r="A746" s="1" t="s">
        <v>1230</v>
      </c>
      <c r="B746" s="1">
        <v>4.0</v>
      </c>
      <c r="C746" s="1">
        <v>0.0</v>
      </c>
      <c r="D746" s="1">
        <v>0.0</v>
      </c>
      <c r="E746" s="1">
        <v>0.0</v>
      </c>
      <c r="F746" s="1">
        <v>0.0</v>
      </c>
    </row>
    <row r="747">
      <c r="A747" s="1" t="s">
        <v>531</v>
      </c>
      <c r="B747" s="1">
        <v>209.0</v>
      </c>
      <c r="C747" s="1">
        <v>1.0</v>
      </c>
      <c r="D747" s="1">
        <v>0.0</v>
      </c>
      <c r="E747" s="1">
        <v>0.0</v>
      </c>
      <c r="F747" s="1">
        <v>0.0</v>
      </c>
    </row>
    <row r="748">
      <c r="A748" s="1" t="s">
        <v>824</v>
      </c>
      <c r="B748" s="1">
        <v>95.0</v>
      </c>
      <c r="C748" s="1">
        <v>0.0</v>
      </c>
      <c r="D748" s="1">
        <v>0.0</v>
      </c>
      <c r="E748" s="1">
        <v>0.0</v>
      </c>
      <c r="F748" s="1">
        <v>0.0</v>
      </c>
    </row>
    <row r="749">
      <c r="A749" s="1" t="s">
        <v>334</v>
      </c>
      <c r="B749" s="1">
        <v>39.0</v>
      </c>
      <c r="C749" s="1">
        <v>0.0</v>
      </c>
      <c r="D749" s="1">
        <v>0.0</v>
      </c>
      <c r="E749" s="1">
        <v>0.0</v>
      </c>
      <c r="F749" s="1">
        <v>0.0</v>
      </c>
    </row>
    <row r="750">
      <c r="A750" s="1" t="s">
        <v>1067</v>
      </c>
      <c r="B750" s="1">
        <v>10.0</v>
      </c>
      <c r="C750" s="1">
        <v>0.0</v>
      </c>
      <c r="D750" s="1">
        <v>0.0</v>
      </c>
      <c r="E750" s="1">
        <v>0.0</v>
      </c>
      <c r="F750" s="1">
        <v>0.0</v>
      </c>
    </row>
    <row r="751">
      <c r="A751" s="1" t="s">
        <v>885</v>
      </c>
      <c r="B751" s="1">
        <v>30.0</v>
      </c>
      <c r="C751" s="1">
        <v>0.0</v>
      </c>
      <c r="D751" s="1">
        <v>0.0</v>
      </c>
      <c r="E751" s="1">
        <v>0.0</v>
      </c>
      <c r="F751" s="1">
        <v>0.0</v>
      </c>
    </row>
    <row r="752">
      <c r="A752" s="1" t="s">
        <v>1669</v>
      </c>
      <c r="B752" s="1">
        <v>265.0</v>
      </c>
      <c r="C752" s="1">
        <v>2.0</v>
      </c>
      <c r="D752" s="1">
        <v>0.0</v>
      </c>
      <c r="E752" s="1">
        <v>0.0</v>
      </c>
      <c r="F752" s="1">
        <v>0.0</v>
      </c>
    </row>
    <row r="753">
      <c r="A753" s="1" t="s">
        <v>1442</v>
      </c>
      <c r="B753" s="1">
        <v>3.0</v>
      </c>
      <c r="C753" s="1">
        <v>0.0</v>
      </c>
      <c r="D753" s="1">
        <v>0.0</v>
      </c>
      <c r="E753" s="1">
        <v>0.0</v>
      </c>
      <c r="F753" s="1">
        <v>0.0</v>
      </c>
    </row>
    <row r="754">
      <c r="A754" s="1" t="s">
        <v>932</v>
      </c>
      <c r="B754" s="1">
        <v>25.0</v>
      </c>
      <c r="C754" s="1">
        <v>0.0</v>
      </c>
      <c r="D754" s="1">
        <v>0.0</v>
      </c>
      <c r="E754" s="1">
        <v>0.0</v>
      </c>
      <c r="F754" s="1">
        <v>0.0</v>
      </c>
    </row>
    <row r="755">
      <c r="A755" s="1" t="s">
        <v>1918</v>
      </c>
      <c r="B755" s="1">
        <v>11.0</v>
      </c>
      <c r="C755" s="1">
        <v>0.0</v>
      </c>
      <c r="D755" s="1">
        <v>0.0</v>
      </c>
      <c r="E755" s="1">
        <v>0.0</v>
      </c>
      <c r="F755" s="1">
        <v>0.0</v>
      </c>
    </row>
    <row r="756">
      <c r="A756" s="1" t="s">
        <v>361</v>
      </c>
      <c r="B756" s="1">
        <v>23.0</v>
      </c>
      <c r="C756" s="1">
        <v>0.0</v>
      </c>
      <c r="D756" s="1">
        <v>0.0</v>
      </c>
      <c r="E756" s="1">
        <v>0.0</v>
      </c>
      <c r="F756" s="1">
        <v>0.0</v>
      </c>
    </row>
    <row r="757">
      <c r="A757" s="1" t="s">
        <v>1247</v>
      </c>
      <c r="B757" s="1">
        <v>6.0</v>
      </c>
      <c r="C757" s="1">
        <v>0.0</v>
      </c>
      <c r="D757" s="1">
        <v>0.0</v>
      </c>
      <c r="E757" s="1">
        <v>0.0</v>
      </c>
      <c r="F757" s="1">
        <v>0.0</v>
      </c>
    </row>
    <row r="758">
      <c r="A758" s="1" t="s">
        <v>1340</v>
      </c>
      <c r="B758" s="1">
        <v>29.0</v>
      </c>
      <c r="C758" s="1">
        <v>0.0</v>
      </c>
      <c r="D758" s="1">
        <v>0.0</v>
      </c>
      <c r="E758" s="1">
        <v>0.0</v>
      </c>
      <c r="F758" s="1">
        <v>0.0</v>
      </c>
    </row>
    <row r="759">
      <c r="A759" s="1" t="s">
        <v>970</v>
      </c>
      <c r="B759" s="1">
        <v>34.0</v>
      </c>
      <c r="C759" s="1">
        <v>0.0</v>
      </c>
      <c r="D759" s="1">
        <v>0.0</v>
      </c>
      <c r="E759" s="1">
        <v>0.0</v>
      </c>
      <c r="F759" s="1">
        <v>0.0</v>
      </c>
    </row>
    <row r="760">
      <c r="A760" s="1" t="s">
        <v>1390</v>
      </c>
      <c r="B760" s="1">
        <v>35.0</v>
      </c>
      <c r="C760" s="1">
        <v>0.0</v>
      </c>
      <c r="D760" s="1">
        <v>0.0</v>
      </c>
      <c r="E760" s="1">
        <v>0.0</v>
      </c>
      <c r="F760" s="1">
        <v>0.0</v>
      </c>
    </row>
    <row r="761">
      <c r="A761" s="1" t="s">
        <v>693</v>
      </c>
      <c r="B761" s="1">
        <v>39.0</v>
      </c>
      <c r="C761" s="1">
        <v>0.0</v>
      </c>
      <c r="D761" s="1">
        <v>0.0</v>
      </c>
      <c r="E761" s="1">
        <v>0.0</v>
      </c>
      <c r="F761" s="1">
        <v>0.0</v>
      </c>
    </row>
    <row r="762">
      <c r="A762" s="1" t="s">
        <v>1967</v>
      </c>
      <c r="B762" s="1">
        <v>28.0</v>
      </c>
      <c r="C762" s="1">
        <v>0.0</v>
      </c>
      <c r="D762" s="1">
        <v>0.0</v>
      </c>
      <c r="E762" s="1">
        <v>0.0</v>
      </c>
      <c r="F762" s="1">
        <v>0.0</v>
      </c>
    </row>
    <row r="763">
      <c r="A763" s="1" t="s">
        <v>1396</v>
      </c>
      <c r="B763" s="1">
        <v>29.0</v>
      </c>
      <c r="C763" s="1">
        <v>0.0</v>
      </c>
      <c r="D763" s="1">
        <v>0.0</v>
      </c>
      <c r="E763" s="1">
        <v>0.0</v>
      </c>
      <c r="F763" s="1">
        <v>0.0</v>
      </c>
    </row>
    <row r="764">
      <c r="A764" s="1" t="s">
        <v>1508</v>
      </c>
      <c r="B764" s="1">
        <v>155.0</v>
      </c>
      <c r="C764" s="1">
        <v>1.0</v>
      </c>
      <c r="D764" s="1">
        <v>0.0</v>
      </c>
      <c r="E764" s="1">
        <v>0.0</v>
      </c>
      <c r="F764" s="1">
        <v>0.0</v>
      </c>
    </row>
    <row r="765">
      <c r="A765" s="1" t="s">
        <v>1924</v>
      </c>
      <c r="B765" s="1">
        <v>9.0</v>
      </c>
      <c r="C765" s="1">
        <v>0.0</v>
      </c>
      <c r="D765" s="1">
        <v>0.0</v>
      </c>
      <c r="E765" s="1">
        <v>0.0</v>
      </c>
      <c r="F765" s="1">
        <v>0.0</v>
      </c>
    </row>
    <row r="766">
      <c r="A766" s="1" t="s">
        <v>731</v>
      </c>
      <c r="B766" s="1">
        <v>13.0</v>
      </c>
      <c r="C766" s="1">
        <v>0.0</v>
      </c>
      <c r="D766" s="1">
        <v>0.0</v>
      </c>
      <c r="E766" s="1">
        <v>0.0</v>
      </c>
      <c r="F766" s="1">
        <v>0.0</v>
      </c>
    </row>
    <row r="767">
      <c r="A767" s="1" t="s">
        <v>1494</v>
      </c>
      <c r="B767" s="1">
        <v>259.0</v>
      </c>
      <c r="C767" s="1">
        <v>0.0</v>
      </c>
      <c r="D767" s="1">
        <v>0.0</v>
      </c>
      <c r="E767" s="1">
        <v>0.0</v>
      </c>
      <c r="F767" s="1">
        <v>0.0</v>
      </c>
    </row>
    <row r="768">
      <c r="A768" s="1" t="s">
        <v>943</v>
      </c>
      <c r="B768" s="1">
        <v>108.0</v>
      </c>
      <c r="C768" s="1">
        <v>0.0</v>
      </c>
      <c r="D768" s="1">
        <v>0.0</v>
      </c>
      <c r="E768" s="1">
        <v>0.0</v>
      </c>
      <c r="F768" s="1">
        <v>0.0</v>
      </c>
    </row>
    <row r="769">
      <c r="A769" s="1" t="s">
        <v>1409</v>
      </c>
      <c r="B769" s="1">
        <v>3.0</v>
      </c>
      <c r="C769" s="1">
        <v>0.0</v>
      </c>
      <c r="D769" s="1">
        <v>0.0</v>
      </c>
      <c r="E769" s="1">
        <v>0.0</v>
      </c>
      <c r="F769" s="1">
        <v>0.0</v>
      </c>
    </row>
    <row r="770">
      <c r="A770" s="1" t="s">
        <v>1064</v>
      </c>
      <c r="B770" s="1">
        <v>72.0</v>
      </c>
      <c r="C770" s="1">
        <v>0.0</v>
      </c>
      <c r="D770" s="1">
        <v>0.0</v>
      </c>
      <c r="E770" s="1">
        <v>0.0</v>
      </c>
      <c r="F770" s="1">
        <v>0.0</v>
      </c>
    </row>
    <row r="771">
      <c r="A771" s="1" t="s">
        <v>2086</v>
      </c>
      <c r="B771" s="1">
        <v>100.0</v>
      </c>
      <c r="C771" s="1">
        <v>0.0</v>
      </c>
      <c r="D771" s="1">
        <v>0.0</v>
      </c>
      <c r="E771" s="1">
        <v>0.0</v>
      </c>
      <c r="F771" s="1">
        <v>0.0</v>
      </c>
    </row>
    <row r="772">
      <c r="A772" s="1" t="s">
        <v>1248</v>
      </c>
      <c r="B772" s="1">
        <v>12.0</v>
      </c>
      <c r="C772" s="1">
        <v>0.0</v>
      </c>
      <c r="D772" s="1">
        <v>0.0</v>
      </c>
      <c r="E772" s="1">
        <v>0.0</v>
      </c>
      <c r="F772" s="1">
        <v>0.0</v>
      </c>
    </row>
    <row r="773">
      <c r="A773" s="1" t="s">
        <v>963</v>
      </c>
      <c r="B773" s="1">
        <v>14.0</v>
      </c>
      <c r="C773" s="1">
        <v>0.0</v>
      </c>
      <c r="D773" s="1">
        <v>0.0</v>
      </c>
      <c r="E773" s="1">
        <v>0.0</v>
      </c>
      <c r="F773" s="1">
        <v>0.0</v>
      </c>
    </row>
    <row r="774">
      <c r="A774" s="1" t="s">
        <v>1227</v>
      </c>
      <c r="B774" s="1">
        <v>7.0</v>
      </c>
      <c r="C774" s="1">
        <v>0.0</v>
      </c>
      <c r="D774" s="1">
        <v>0.0</v>
      </c>
      <c r="E774" s="1">
        <v>0.0</v>
      </c>
      <c r="F774" s="1">
        <v>0.0</v>
      </c>
    </row>
    <row r="775">
      <c r="A775" s="1" t="s">
        <v>449</v>
      </c>
      <c r="B775" s="1">
        <v>175.0</v>
      </c>
      <c r="C775" s="1">
        <v>1.0</v>
      </c>
      <c r="D775" s="1">
        <v>0.0</v>
      </c>
      <c r="E775" s="1">
        <v>0.0</v>
      </c>
      <c r="F775" s="1">
        <v>0.0</v>
      </c>
    </row>
    <row r="776">
      <c r="A776" s="1" t="s">
        <v>1556</v>
      </c>
      <c r="B776" s="1">
        <v>17.0</v>
      </c>
      <c r="C776" s="1">
        <v>0.0</v>
      </c>
      <c r="D776" s="1">
        <v>0.0</v>
      </c>
      <c r="E776" s="1">
        <v>0.0</v>
      </c>
      <c r="F776" s="1">
        <v>0.0</v>
      </c>
    </row>
    <row r="777">
      <c r="A777" s="1" t="s">
        <v>1753</v>
      </c>
      <c r="B777" s="1">
        <v>36.0</v>
      </c>
      <c r="C777" s="1">
        <v>0.0</v>
      </c>
      <c r="D777" s="1">
        <v>0.0</v>
      </c>
      <c r="E777" s="1">
        <v>0.0</v>
      </c>
      <c r="F777" s="1">
        <v>0.0</v>
      </c>
    </row>
    <row r="778">
      <c r="A778" s="1" t="s">
        <v>1354</v>
      </c>
      <c r="B778" s="1">
        <v>13.0</v>
      </c>
      <c r="C778" s="1">
        <v>0.0</v>
      </c>
      <c r="D778" s="1">
        <v>0.0</v>
      </c>
      <c r="E778" s="1">
        <v>0.0</v>
      </c>
      <c r="F778" s="1">
        <v>0.0</v>
      </c>
    </row>
    <row r="779">
      <c r="A779" s="1" t="s">
        <v>1815</v>
      </c>
      <c r="B779" s="1">
        <v>36.0</v>
      </c>
      <c r="C779" s="1">
        <v>0.0</v>
      </c>
      <c r="D779" s="1">
        <v>0.0</v>
      </c>
      <c r="E779" s="1">
        <v>0.0</v>
      </c>
      <c r="F779" s="1">
        <v>0.0</v>
      </c>
    </row>
    <row r="780">
      <c r="A780" s="1" t="s">
        <v>1074</v>
      </c>
      <c r="B780" s="1">
        <v>111.0</v>
      </c>
      <c r="C780" s="1">
        <v>0.0</v>
      </c>
      <c r="D780" s="1">
        <v>0.0</v>
      </c>
      <c r="E780" s="1">
        <v>0.0</v>
      </c>
      <c r="F780" s="1">
        <v>0.0</v>
      </c>
    </row>
    <row r="781">
      <c r="A781" s="1" t="s">
        <v>2081</v>
      </c>
      <c r="B781" s="1">
        <v>5.0</v>
      </c>
      <c r="C781" s="1">
        <v>0.0</v>
      </c>
      <c r="D781" s="1">
        <v>0.0</v>
      </c>
      <c r="E781" s="1">
        <v>0.0</v>
      </c>
      <c r="F781" s="1">
        <v>0.0</v>
      </c>
    </row>
    <row r="782">
      <c r="A782" s="1" t="s">
        <v>1274</v>
      </c>
      <c r="B782" s="1">
        <v>41.0</v>
      </c>
      <c r="C782" s="1">
        <v>0.0</v>
      </c>
      <c r="D782" s="1">
        <v>0.0</v>
      </c>
      <c r="E782" s="1">
        <v>0.0</v>
      </c>
      <c r="F782" s="1">
        <v>0.0</v>
      </c>
    </row>
    <row r="783">
      <c r="A783" s="1" t="s">
        <v>340</v>
      </c>
      <c r="B783" s="1">
        <v>23.0</v>
      </c>
      <c r="C783" s="1">
        <v>0.0</v>
      </c>
      <c r="D783" s="1">
        <v>0.0</v>
      </c>
      <c r="E783" s="1">
        <v>0.0</v>
      </c>
      <c r="F783" s="1">
        <v>0.0</v>
      </c>
    </row>
    <row r="784">
      <c r="A784" s="1" t="s">
        <v>502</v>
      </c>
      <c r="B784" s="1">
        <v>13.0</v>
      </c>
      <c r="C784" s="1">
        <v>0.0</v>
      </c>
      <c r="D784" s="1">
        <v>0.0</v>
      </c>
      <c r="E784" s="1">
        <v>0.0</v>
      </c>
      <c r="F784" s="1">
        <v>0.0</v>
      </c>
    </row>
    <row r="785">
      <c r="A785" s="1" t="s">
        <v>1604</v>
      </c>
      <c r="B785" s="1">
        <v>20.0</v>
      </c>
      <c r="C785" s="1">
        <v>0.0</v>
      </c>
      <c r="D785" s="1">
        <v>0.0</v>
      </c>
      <c r="E785" s="1">
        <v>0.0</v>
      </c>
      <c r="F785" s="1">
        <v>0.0</v>
      </c>
    </row>
    <row r="786">
      <c r="A786" s="1" t="s">
        <v>1715</v>
      </c>
      <c r="B786" s="1">
        <v>70.0</v>
      </c>
      <c r="C786" s="1">
        <v>0.0</v>
      </c>
      <c r="D786" s="1">
        <v>0.0</v>
      </c>
      <c r="E786" s="1">
        <v>0.0</v>
      </c>
      <c r="F786" s="1">
        <v>0.0</v>
      </c>
    </row>
    <row r="787">
      <c r="A787" s="1" t="s">
        <v>1688</v>
      </c>
      <c r="B787" s="1">
        <v>28.0</v>
      </c>
      <c r="C787" s="1">
        <v>0.0</v>
      </c>
      <c r="D787" s="1">
        <v>0.0</v>
      </c>
      <c r="E787" s="1">
        <v>0.0</v>
      </c>
      <c r="F787" s="1">
        <v>0.0</v>
      </c>
    </row>
    <row r="788">
      <c r="A788" s="1" t="s">
        <v>1985</v>
      </c>
      <c r="B788" s="1">
        <v>163.0</v>
      </c>
      <c r="C788" s="1">
        <v>1.0</v>
      </c>
      <c r="D788" s="1">
        <v>0.0</v>
      </c>
      <c r="E788" s="1">
        <v>0.0</v>
      </c>
      <c r="F788" s="1">
        <v>0.0</v>
      </c>
    </row>
    <row r="789">
      <c r="A789" s="1" t="s">
        <v>1893</v>
      </c>
      <c r="B789" s="1">
        <v>22.0</v>
      </c>
      <c r="C789" s="1">
        <v>0.0</v>
      </c>
      <c r="D789" s="1">
        <v>0.0</v>
      </c>
      <c r="E789" s="1">
        <v>0.0</v>
      </c>
      <c r="F789" s="1">
        <v>0.0</v>
      </c>
    </row>
    <row r="790">
      <c r="A790" s="1" t="s">
        <v>1013</v>
      </c>
      <c r="B790" s="1">
        <v>9.0</v>
      </c>
      <c r="C790" s="1">
        <v>0.0</v>
      </c>
      <c r="D790" s="1">
        <v>0.0</v>
      </c>
      <c r="E790" s="1">
        <v>0.0</v>
      </c>
      <c r="F790" s="1">
        <v>0.0</v>
      </c>
    </row>
    <row r="791">
      <c r="A791" s="1" t="s">
        <v>1509</v>
      </c>
      <c r="B791" s="1">
        <v>2.0</v>
      </c>
      <c r="C791" s="1">
        <v>0.0</v>
      </c>
      <c r="D791" s="1">
        <v>0.0</v>
      </c>
      <c r="E791" s="1">
        <v>0.0</v>
      </c>
      <c r="F791" s="1">
        <v>0.0</v>
      </c>
    </row>
    <row r="792">
      <c r="A792" s="1" t="s">
        <v>1486</v>
      </c>
      <c r="B792" s="1">
        <v>16.0</v>
      </c>
      <c r="C792" s="1">
        <v>0.0</v>
      </c>
      <c r="D792" s="1">
        <v>0.0</v>
      </c>
      <c r="E792" s="1">
        <v>0.0</v>
      </c>
      <c r="F792" s="1">
        <v>0.0</v>
      </c>
    </row>
    <row r="793">
      <c r="A793" s="1" t="s">
        <v>641</v>
      </c>
      <c r="B793" s="1">
        <v>64.0</v>
      </c>
      <c r="C793" s="1">
        <v>0.0</v>
      </c>
      <c r="D793" s="1">
        <v>0.0</v>
      </c>
      <c r="E793" s="1">
        <v>0.0</v>
      </c>
      <c r="F793" s="1">
        <v>0.0</v>
      </c>
    </row>
    <row r="794">
      <c r="A794" s="1" t="s">
        <v>1677</v>
      </c>
      <c r="B794" s="1">
        <v>10.0</v>
      </c>
      <c r="C794" s="1">
        <v>0.0</v>
      </c>
      <c r="D794" s="1">
        <v>0.0</v>
      </c>
      <c r="E794" s="1">
        <v>0.0</v>
      </c>
      <c r="F794" s="1">
        <v>0.0</v>
      </c>
    </row>
    <row r="795">
      <c r="A795" s="1" t="s">
        <v>1720</v>
      </c>
      <c r="B795" s="1">
        <v>139.0</v>
      </c>
      <c r="C795" s="1">
        <v>0.0</v>
      </c>
      <c r="D795" s="1">
        <v>0.0</v>
      </c>
      <c r="E795" s="1">
        <v>0.0</v>
      </c>
      <c r="F795" s="1">
        <v>0.0</v>
      </c>
    </row>
    <row r="796">
      <c r="A796" s="1" t="s">
        <v>896</v>
      </c>
      <c r="B796" s="1">
        <v>35.0</v>
      </c>
      <c r="C796" s="1">
        <v>0.0</v>
      </c>
      <c r="D796" s="1">
        <v>0.0</v>
      </c>
      <c r="E796" s="1">
        <v>0.0</v>
      </c>
      <c r="F796" s="1">
        <v>0.0</v>
      </c>
    </row>
    <row r="797">
      <c r="A797" s="1" t="s">
        <v>563</v>
      </c>
      <c r="B797" s="1">
        <v>5.0</v>
      </c>
      <c r="C797" s="1">
        <v>0.0</v>
      </c>
      <c r="D797" s="1">
        <v>0.0</v>
      </c>
      <c r="E797" s="1">
        <v>0.0</v>
      </c>
      <c r="F797" s="1">
        <v>0.0</v>
      </c>
    </row>
    <row r="798">
      <c r="A798" s="1" t="s">
        <v>1026</v>
      </c>
      <c r="B798" s="1">
        <v>155.0</v>
      </c>
      <c r="C798" s="1">
        <v>1.0</v>
      </c>
      <c r="D798" s="1">
        <v>0.0</v>
      </c>
      <c r="E798" s="1">
        <v>0.0</v>
      </c>
      <c r="F798" s="1">
        <v>0.0</v>
      </c>
    </row>
    <row r="799">
      <c r="A799" s="1" t="s">
        <v>1052</v>
      </c>
      <c r="B799" s="1">
        <v>38.0</v>
      </c>
      <c r="C799" s="1">
        <v>0.0</v>
      </c>
      <c r="D799" s="1">
        <v>0.0</v>
      </c>
      <c r="E799" s="1">
        <v>0.0</v>
      </c>
      <c r="F799" s="1">
        <v>0.0</v>
      </c>
    </row>
    <row r="800">
      <c r="A800" s="1" t="s">
        <v>852</v>
      </c>
      <c r="B800" s="1">
        <v>20.0</v>
      </c>
      <c r="C800" s="1">
        <v>0.0</v>
      </c>
      <c r="D800" s="1">
        <v>0.0</v>
      </c>
      <c r="E800" s="1">
        <v>0.0</v>
      </c>
      <c r="F800" s="1">
        <v>0.0</v>
      </c>
    </row>
    <row r="801">
      <c r="A801" s="1" t="s">
        <v>456</v>
      </c>
      <c r="B801" s="1">
        <v>54.0</v>
      </c>
      <c r="C801" s="1">
        <v>0.0</v>
      </c>
      <c r="D801" s="1">
        <v>0.0</v>
      </c>
      <c r="E801" s="1">
        <v>0.0</v>
      </c>
      <c r="F801" s="1">
        <v>0.0</v>
      </c>
    </row>
    <row r="802">
      <c r="A802" s="1" t="s">
        <v>1696</v>
      </c>
      <c r="B802" s="1">
        <v>55.0</v>
      </c>
      <c r="C802" s="1">
        <v>0.0</v>
      </c>
      <c r="D802" s="1">
        <v>0.0</v>
      </c>
      <c r="E802" s="1">
        <v>0.0</v>
      </c>
      <c r="F802" s="1">
        <v>0.0</v>
      </c>
    </row>
    <row r="803">
      <c r="A803" s="1" t="s">
        <v>1849</v>
      </c>
      <c r="B803" s="1">
        <v>6.0</v>
      </c>
      <c r="C803" s="1">
        <v>0.0</v>
      </c>
      <c r="D803" s="1">
        <v>0.0</v>
      </c>
      <c r="E803" s="1">
        <v>0.0</v>
      </c>
      <c r="F803" s="1">
        <v>0.0</v>
      </c>
    </row>
    <row r="804">
      <c r="A804" s="1" t="s">
        <v>974</v>
      </c>
      <c r="B804" s="1">
        <v>18.0</v>
      </c>
      <c r="C804" s="1">
        <v>0.0</v>
      </c>
      <c r="D804" s="1">
        <v>0.0</v>
      </c>
      <c r="E804" s="1">
        <v>0.0</v>
      </c>
      <c r="F804" s="1">
        <v>0.0</v>
      </c>
    </row>
    <row r="805">
      <c r="A805" s="1" t="s">
        <v>525</v>
      </c>
      <c r="B805" s="1">
        <v>22.0</v>
      </c>
      <c r="C805" s="1">
        <v>0.0</v>
      </c>
      <c r="D805" s="1">
        <v>0.0</v>
      </c>
      <c r="E805" s="1">
        <v>0.0</v>
      </c>
      <c r="F805" s="1">
        <v>0.0</v>
      </c>
    </row>
    <row r="806">
      <c r="A806" s="1" t="s">
        <v>1424</v>
      </c>
      <c r="B806" s="1">
        <v>19.0</v>
      </c>
      <c r="C806" s="1">
        <v>0.0</v>
      </c>
      <c r="D806" s="1">
        <v>0.0</v>
      </c>
      <c r="E806" s="1">
        <v>0.0</v>
      </c>
      <c r="F806" s="1">
        <v>0.0</v>
      </c>
    </row>
    <row r="807">
      <c r="A807" s="1" t="s">
        <v>2072</v>
      </c>
      <c r="B807" s="1">
        <v>13.0</v>
      </c>
      <c r="C807" s="1">
        <v>0.0</v>
      </c>
      <c r="D807" s="1">
        <v>0.0</v>
      </c>
      <c r="E807" s="1">
        <v>0.0</v>
      </c>
      <c r="F807" s="1">
        <v>0.0</v>
      </c>
    </row>
    <row r="808">
      <c r="A808" s="1" t="s">
        <v>1461</v>
      </c>
      <c r="B808" s="1">
        <v>11.0</v>
      </c>
      <c r="C808" s="1">
        <v>0.0</v>
      </c>
      <c r="D808" s="1">
        <v>0.0</v>
      </c>
      <c r="E808" s="1">
        <v>0.0</v>
      </c>
      <c r="F808" s="1">
        <v>0.0</v>
      </c>
    </row>
    <row r="809">
      <c r="A809" s="1" t="s">
        <v>1649</v>
      </c>
      <c r="B809" s="1">
        <v>31.0</v>
      </c>
      <c r="C809" s="1">
        <v>0.0</v>
      </c>
      <c r="D809" s="1">
        <v>0.0</v>
      </c>
      <c r="E809" s="1">
        <v>0.0</v>
      </c>
      <c r="F809" s="1">
        <v>0.0</v>
      </c>
    </row>
    <row r="810">
      <c r="A810" s="1" t="s">
        <v>540</v>
      </c>
      <c r="B810" s="1">
        <v>19.0</v>
      </c>
      <c r="C810" s="1">
        <v>0.0</v>
      </c>
      <c r="D810" s="1">
        <v>0.0</v>
      </c>
      <c r="E810" s="1">
        <v>0.0</v>
      </c>
      <c r="F810" s="1">
        <v>0.0</v>
      </c>
    </row>
    <row r="811">
      <c r="A811" s="1" t="s">
        <v>769</v>
      </c>
      <c r="B811" s="1">
        <v>7.0</v>
      </c>
      <c r="C811" s="1">
        <v>0.0</v>
      </c>
      <c r="D811" s="1">
        <v>0.0</v>
      </c>
      <c r="E811" s="1">
        <v>0.0</v>
      </c>
      <c r="F811" s="1">
        <v>0.0</v>
      </c>
    </row>
    <row r="812">
      <c r="A812" s="1" t="s">
        <v>632</v>
      </c>
      <c r="B812" s="1">
        <v>33.0</v>
      </c>
      <c r="C812" s="1">
        <v>0.0</v>
      </c>
      <c r="D812" s="1">
        <v>0.0</v>
      </c>
      <c r="E812" s="1">
        <v>0.0</v>
      </c>
      <c r="F812" s="1">
        <v>0.0</v>
      </c>
    </row>
    <row r="813">
      <c r="A813" s="1" t="s">
        <v>2000</v>
      </c>
      <c r="B813" s="1">
        <v>52.0</v>
      </c>
      <c r="C813" s="1">
        <v>0.0</v>
      </c>
      <c r="D813" s="1">
        <v>0.0</v>
      </c>
      <c r="E813" s="1">
        <v>0.0</v>
      </c>
      <c r="F813" s="1">
        <v>0.0</v>
      </c>
    </row>
    <row r="814">
      <c r="A814" s="1" t="s">
        <v>1763</v>
      </c>
      <c r="B814" s="1">
        <v>2579.0</v>
      </c>
      <c r="C814" s="1">
        <v>10.0</v>
      </c>
      <c r="D814" s="1">
        <v>1.0</v>
      </c>
      <c r="E814" s="1">
        <v>1.0</v>
      </c>
      <c r="F814" s="1">
        <v>1.0</v>
      </c>
    </row>
    <row r="815">
      <c r="A815" s="1" t="s">
        <v>395</v>
      </c>
      <c r="B815" s="1">
        <v>24.0</v>
      </c>
      <c r="C815" s="1">
        <v>0.0</v>
      </c>
      <c r="D815" s="1">
        <v>0.0</v>
      </c>
      <c r="E815" s="1">
        <v>0.0</v>
      </c>
      <c r="F815" s="1">
        <v>0.0</v>
      </c>
    </row>
    <row r="816">
      <c r="A816" s="1" t="s">
        <v>738</v>
      </c>
      <c r="B816" s="1">
        <v>9.0</v>
      </c>
      <c r="C816" s="1">
        <v>0.0</v>
      </c>
      <c r="D816" s="1">
        <v>0.0</v>
      </c>
      <c r="E816" s="1">
        <v>0.0</v>
      </c>
      <c r="F816" s="1">
        <v>0.0</v>
      </c>
    </row>
    <row r="817">
      <c r="A817" s="1" t="s">
        <v>1288</v>
      </c>
      <c r="B817" s="1">
        <v>67.0</v>
      </c>
      <c r="C817" s="1">
        <v>0.0</v>
      </c>
      <c r="D817" s="1">
        <v>0.0</v>
      </c>
      <c r="E817" s="1">
        <v>0.0</v>
      </c>
      <c r="F817" s="1">
        <v>0.0</v>
      </c>
    </row>
    <row r="818">
      <c r="A818" s="1" t="s">
        <v>1387</v>
      </c>
      <c r="B818" s="1">
        <v>41.0</v>
      </c>
      <c r="C818" s="1">
        <v>0.0</v>
      </c>
      <c r="D818" s="1">
        <v>0.0</v>
      </c>
      <c r="E818" s="1">
        <v>0.0</v>
      </c>
      <c r="F818" s="1">
        <v>0.0</v>
      </c>
    </row>
    <row r="819">
      <c r="A819" s="1" t="s">
        <v>464</v>
      </c>
      <c r="B819" s="1">
        <v>72.0</v>
      </c>
      <c r="C819" s="1">
        <v>0.0</v>
      </c>
      <c r="D819" s="1">
        <v>0.0</v>
      </c>
      <c r="E819" s="1">
        <v>0.0</v>
      </c>
      <c r="F819" s="1">
        <v>0.0</v>
      </c>
    </row>
    <row r="820">
      <c r="A820" s="1" t="s">
        <v>722</v>
      </c>
      <c r="B820" s="1">
        <v>1128.0</v>
      </c>
      <c r="C820" s="1">
        <v>3.0</v>
      </c>
      <c r="D820" s="1">
        <v>0.0</v>
      </c>
      <c r="E820" s="1">
        <v>1.0</v>
      </c>
      <c r="F820" s="1">
        <v>0.0</v>
      </c>
    </row>
    <row r="821">
      <c r="A821" s="1" t="s">
        <v>675</v>
      </c>
      <c r="B821" s="1">
        <v>69.0</v>
      </c>
      <c r="C821" s="1">
        <v>0.0</v>
      </c>
      <c r="D821" s="1">
        <v>0.0</v>
      </c>
      <c r="E821" s="1">
        <v>0.0</v>
      </c>
      <c r="F821" s="1">
        <v>0.0</v>
      </c>
    </row>
    <row r="822">
      <c r="A822" s="1" t="s">
        <v>1670</v>
      </c>
      <c r="B822" s="1">
        <v>17.0</v>
      </c>
      <c r="C822" s="1">
        <v>0.0</v>
      </c>
      <c r="D822" s="1">
        <v>0.0</v>
      </c>
      <c r="E822" s="1">
        <v>0.0</v>
      </c>
      <c r="F822" s="1">
        <v>0.0</v>
      </c>
    </row>
    <row r="823">
      <c r="A823" s="1" t="s">
        <v>1236</v>
      </c>
      <c r="B823" s="1">
        <v>46.0</v>
      </c>
      <c r="C823" s="1">
        <v>0.0</v>
      </c>
      <c r="D823" s="1">
        <v>0.0</v>
      </c>
      <c r="E823" s="1">
        <v>0.0</v>
      </c>
      <c r="F823" s="1">
        <v>0.0</v>
      </c>
    </row>
    <row r="824">
      <c r="A824" s="1" t="s">
        <v>662</v>
      </c>
      <c r="B824" s="1">
        <v>39.0</v>
      </c>
      <c r="C824" s="1">
        <v>0.0</v>
      </c>
      <c r="D824" s="1">
        <v>0.0</v>
      </c>
      <c r="E824" s="1">
        <v>0.0</v>
      </c>
      <c r="F824" s="1">
        <v>0.0</v>
      </c>
    </row>
    <row r="825">
      <c r="A825" s="1" t="s">
        <v>399</v>
      </c>
      <c r="B825" s="1">
        <v>56.0</v>
      </c>
      <c r="C825" s="1">
        <v>0.0</v>
      </c>
      <c r="D825" s="1">
        <v>0.0</v>
      </c>
      <c r="E825" s="1">
        <v>0.0</v>
      </c>
      <c r="F825" s="1">
        <v>0.0</v>
      </c>
    </row>
    <row r="826">
      <c r="A826" s="1" t="s">
        <v>425</v>
      </c>
      <c r="B826" s="1">
        <v>8.0</v>
      </c>
      <c r="C826" s="1">
        <v>0.0</v>
      </c>
      <c r="D826" s="1">
        <v>0.0</v>
      </c>
      <c r="E826" s="1">
        <v>0.0</v>
      </c>
      <c r="F826" s="1">
        <v>0.0</v>
      </c>
    </row>
    <row r="827">
      <c r="A827" s="1" t="s">
        <v>644</v>
      </c>
      <c r="B827" s="1">
        <v>39.0</v>
      </c>
      <c r="C827" s="1">
        <v>0.0</v>
      </c>
      <c r="D827" s="1">
        <v>0.0</v>
      </c>
      <c r="E827" s="1">
        <v>0.0</v>
      </c>
      <c r="F827" s="1">
        <v>0.0</v>
      </c>
    </row>
    <row r="828">
      <c r="A828" s="1" t="s">
        <v>1160</v>
      </c>
      <c r="B828" s="1">
        <v>83.0</v>
      </c>
      <c r="C828" s="1">
        <v>0.0</v>
      </c>
      <c r="D828" s="1">
        <v>0.0</v>
      </c>
      <c r="E828" s="1">
        <v>0.0</v>
      </c>
      <c r="F828" s="1">
        <v>0.0</v>
      </c>
    </row>
    <row r="829">
      <c r="A829" s="1" t="s">
        <v>1582</v>
      </c>
      <c r="B829" s="1">
        <v>47.0</v>
      </c>
      <c r="C829" s="1">
        <v>0.0</v>
      </c>
      <c r="D829" s="1">
        <v>0.0</v>
      </c>
      <c r="E829" s="1">
        <v>0.0</v>
      </c>
      <c r="F829" s="1">
        <v>0.0</v>
      </c>
    </row>
    <row r="830">
      <c r="A830" s="1" t="s">
        <v>529</v>
      </c>
      <c r="B830" s="1">
        <v>11716.0</v>
      </c>
      <c r="C830" s="1">
        <v>3826.0</v>
      </c>
      <c r="D830" s="1">
        <v>307.0</v>
      </c>
      <c r="E830" s="1">
        <v>599.0</v>
      </c>
      <c r="F830" s="1">
        <v>13.0</v>
      </c>
    </row>
    <row r="831">
      <c r="A831" s="1" t="s">
        <v>977</v>
      </c>
      <c r="B831" s="1">
        <v>36.0</v>
      </c>
      <c r="C831" s="1">
        <v>0.0</v>
      </c>
      <c r="D831" s="1">
        <v>0.0</v>
      </c>
      <c r="E831" s="1">
        <v>0.0</v>
      </c>
      <c r="F831" s="1">
        <v>0.0</v>
      </c>
    </row>
    <row r="832">
      <c r="A832" s="1" t="s">
        <v>1324</v>
      </c>
      <c r="B832" s="1">
        <v>19.0</v>
      </c>
      <c r="C832" s="1">
        <v>0.0</v>
      </c>
      <c r="D832" s="1">
        <v>0.0</v>
      </c>
      <c r="E832" s="1">
        <v>0.0</v>
      </c>
      <c r="F832" s="1">
        <v>0.0</v>
      </c>
    </row>
    <row r="833">
      <c r="A833" s="1" t="s">
        <v>1083</v>
      </c>
      <c r="B833" s="1">
        <v>135.0</v>
      </c>
      <c r="C833" s="1">
        <v>0.0</v>
      </c>
      <c r="D833" s="1">
        <v>0.0</v>
      </c>
      <c r="E833" s="1">
        <v>0.0</v>
      </c>
      <c r="F833" s="1">
        <v>0.0</v>
      </c>
    </row>
    <row r="834">
      <c r="A834" s="1" t="s">
        <v>1392</v>
      </c>
      <c r="B834" s="1">
        <v>3.0</v>
      </c>
      <c r="C834" s="1">
        <v>0.0</v>
      </c>
      <c r="D834" s="1">
        <v>0.0</v>
      </c>
      <c r="E834" s="1">
        <v>0.0</v>
      </c>
      <c r="F834" s="1">
        <v>0.0</v>
      </c>
    </row>
    <row r="835">
      <c r="A835" s="1" t="s">
        <v>1112</v>
      </c>
      <c r="B835" s="1">
        <v>15.0</v>
      </c>
      <c r="C835" s="1">
        <v>0.0</v>
      </c>
      <c r="D835" s="1">
        <v>0.0</v>
      </c>
      <c r="E835" s="1">
        <v>0.0</v>
      </c>
      <c r="F835" s="1">
        <v>0.0</v>
      </c>
    </row>
    <row r="836">
      <c r="A836" s="1" t="s">
        <v>1318</v>
      </c>
      <c r="B836" s="1">
        <v>32.0</v>
      </c>
      <c r="C836" s="1">
        <v>0.0</v>
      </c>
      <c r="D836" s="1">
        <v>0.0</v>
      </c>
      <c r="E836" s="1">
        <v>0.0</v>
      </c>
      <c r="F836" s="1">
        <v>0.0</v>
      </c>
    </row>
    <row r="837">
      <c r="A837" s="1" t="s">
        <v>1961</v>
      </c>
      <c r="B837" s="1">
        <v>110.0</v>
      </c>
      <c r="C837" s="1">
        <v>0.0</v>
      </c>
      <c r="D837" s="1">
        <v>0.0</v>
      </c>
      <c r="E837" s="1">
        <v>0.0</v>
      </c>
      <c r="F837" s="1">
        <v>0.0</v>
      </c>
    </row>
    <row r="838">
      <c r="A838" s="1" t="s">
        <v>898</v>
      </c>
      <c r="B838" s="1">
        <v>28.0</v>
      </c>
      <c r="C838" s="1">
        <v>0.0</v>
      </c>
      <c r="D838" s="1">
        <v>0.0</v>
      </c>
      <c r="E838" s="1">
        <v>0.0</v>
      </c>
      <c r="F838" s="1">
        <v>0.0</v>
      </c>
    </row>
    <row r="839">
      <c r="A839" s="1" t="s">
        <v>1066</v>
      </c>
      <c r="B839" s="1">
        <v>4.0</v>
      </c>
      <c r="C839" s="1">
        <v>0.0</v>
      </c>
      <c r="D839" s="1">
        <v>0.0</v>
      </c>
      <c r="E839" s="1">
        <v>0.0</v>
      </c>
      <c r="F839" s="1">
        <v>0.0</v>
      </c>
    </row>
    <row r="840">
      <c r="A840" s="1" t="s">
        <v>405</v>
      </c>
      <c r="B840" s="1">
        <v>47.0</v>
      </c>
      <c r="C840" s="1">
        <v>0.0</v>
      </c>
      <c r="D840" s="1">
        <v>0.0</v>
      </c>
      <c r="E840" s="1">
        <v>0.0</v>
      </c>
      <c r="F840" s="1">
        <v>0.0</v>
      </c>
    </row>
    <row r="841">
      <c r="A841" s="1" t="s">
        <v>1405</v>
      </c>
      <c r="B841" s="1">
        <v>61.0</v>
      </c>
      <c r="C841" s="1">
        <v>0.0</v>
      </c>
      <c r="D841" s="1">
        <v>0.0</v>
      </c>
      <c r="E841" s="1">
        <v>0.0</v>
      </c>
      <c r="F841" s="1">
        <v>0.0</v>
      </c>
    </row>
    <row r="842">
      <c r="A842" s="1" t="s">
        <v>351</v>
      </c>
      <c r="B842" s="1">
        <v>29.0</v>
      </c>
      <c r="C842" s="1">
        <v>0.0</v>
      </c>
      <c r="D842" s="1">
        <v>0.0</v>
      </c>
      <c r="E842" s="1">
        <v>0.0</v>
      </c>
      <c r="F842" s="1">
        <v>0.0</v>
      </c>
    </row>
    <row r="843">
      <c r="A843" s="1" t="s">
        <v>549</v>
      </c>
      <c r="B843" s="1">
        <v>34.0</v>
      </c>
      <c r="C843" s="1">
        <v>0.0</v>
      </c>
      <c r="D843" s="1">
        <v>0.0</v>
      </c>
      <c r="E843" s="1">
        <v>0.0</v>
      </c>
      <c r="F843" s="1">
        <v>0.0</v>
      </c>
    </row>
    <row r="844">
      <c r="A844" s="1" t="s">
        <v>1533</v>
      </c>
      <c r="B844" s="1">
        <v>21.0</v>
      </c>
      <c r="C844" s="1">
        <v>0.0</v>
      </c>
      <c r="D844" s="1">
        <v>0.0</v>
      </c>
      <c r="E844" s="1">
        <v>0.0</v>
      </c>
      <c r="F844" s="1">
        <v>0.0</v>
      </c>
    </row>
    <row r="845">
      <c r="A845" s="1" t="s">
        <v>573</v>
      </c>
      <c r="B845" s="1">
        <v>16.0</v>
      </c>
      <c r="C845" s="1">
        <v>0.0</v>
      </c>
      <c r="D845" s="1">
        <v>0.0</v>
      </c>
      <c r="E845" s="1">
        <v>0.0</v>
      </c>
      <c r="F845" s="1">
        <v>0.0</v>
      </c>
    </row>
    <row r="846">
      <c r="A846" s="1" t="s">
        <v>1995</v>
      </c>
      <c r="B846" s="1">
        <v>30.0</v>
      </c>
      <c r="C846" s="1">
        <v>0.0</v>
      </c>
      <c r="D846" s="1">
        <v>0.0</v>
      </c>
      <c r="E846" s="1">
        <v>0.0</v>
      </c>
      <c r="F846" s="1">
        <v>0.0</v>
      </c>
    </row>
    <row r="847">
      <c r="A847" s="1" t="s">
        <v>1453</v>
      </c>
      <c r="B847" s="1">
        <v>28.0</v>
      </c>
      <c r="C847" s="1">
        <v>0.0</v>
      </c>
      <c r="D847" s="1">
        <v>0.0</v>
      </c>
      <c r="E847" s="1">
        <v>0.0</v>
      </c>
      <c r="F847" s="1">
        <v>0.0</v>
      </c>
    </row>
    <row r="848">
      <c r="A848" s="1" t="s">
        <v>524</v>
      </c>
      <c r="B848" s="1">
        <v>99.0</v>
      </c>
      <c r="C848" s="1">
        <v>0.0</v>
      </c>
      <c r="D848" s="1">
        <v>0.0</v>
      </c>
      <c r="E848" s="1">
        <v>0.0</v>
      </c>
      <c r="F848" s="1">
        <v>0.0</v>
      </c>
    </row>
    <row r="849">
      <c r="A849" s="1" t="s">
        <v>2033</v>
      </c>
      <c r="B849" s="1">
        <v>4.0</v>
      </c>
      <c r="C849" s="1">
        <v>0.0</v>
      </c>
      <c r="D849" s="1">
        <v>0.0</v>
      </c>
      <c r="E849" s="1">
        <v>0.0</v>
      </c>
      <c r="F849" s="1">
        <v>0.0</v>
      </c>
    </row>
    <row r="850">
      <c r="A850" s="1" t="s">
        <v>586</v>
      </c>
      <c r="B850" s="1">
        <v>59.0</v>
      </c>
      <c r="C850" s="1">
        <v>0.0</v>
      </c>
      <c r="D850" s="1">
        <v>0.0</v>
      </c>
      <c r="E850" s="1">
        <v>0.0</v>
      </c>
      <c r="F850" s="1">
        <v>0.0</v>
      </c>
    </row>
    <row r="851">
      <c r="A851" s="1" t="s">
        <v>640</v>
      </c>
      <c r="B851" s="1">
        <v>4.0</v>
      </c>
      <c r="C851" s="1">
        <v>0.0</v>
      </c>
      <c r="D851" s="1">
        <v>0.0</v>
      </c>
      <c r="E851" s="1">
        <v>0.0</v>
      </c>
      <c r="F851" s="1">
        <v>0.0</v>
      </c>
    </row>
    <row r="852">
      <c r="A852" s="1" t="s">
        <v>221</v>
      </c>
      <c r="B852" s="1">
        <v>118.0</v>
      </c>
      <c r="C852" s="1">
        <v>0.0</v>
      </c>
      <c r="D852" s="1">
        <v>0.0</v>
      </c>
      <c r="E852" s="1">
        <v>0.0</v>
      </c>
      <c r="F852" s="1">
        <v>0.0</v>
      </c>
    </row>
    <row r="853">
      <c r="A853" s="1" t="s">
        <v>1979</v>
      </c>
      <c r="B853" s="1">
        <v>4.0</v>
      </c>
      <c r="C853" s="1">
        <v>0.0</v>
      </c>
      <c r="D853" s="1">
        <v>0.0</v>
      </c>
      <c r="E853" s="1">
        <v>0.0</v>
      </c>
      <c r="F853" s="1">
        <v>0.0</v>
      </c>
    </row>
    <row r="854">
      <c r="A854" s="1" t="s">
        <v>1841</v>
      </c>
      <c r="B854" s="1">
        <v>899.0</v>
      </c>
      <c r="C854" s="1">
        <v>22.0</v>
      </c>
      <c r="D854" s="1">
        <v>0.0</v>
      </c>
      <c r="E854" s="1">
        <v>1.0</v>
      </c>
      <c r="F854" s="1">
        <v>0.0</v>
      </c>
    </row>
    <row r="855">
      <c r="A855" s="1" t="s">
        <v>770</v>
      </c>
      <c r="B855" s="1">
        <v>34.0</v>
      </c>
      <c r="C855" s="1">
        <v>0.0</v>
      </c>
      <c r="D855" s="1">
        <v>0.0</v>
      </c>
      <c r="E855" s="1">
        <v>0.0</v>
      </c>
      <c r="F855" s="1">
        <v>0.0</v>
      </c>
    </row>
    <row r="856">
      <c r="A856" s="1" t="s">
        <v>1568</v>
      </c>
      <c r="B856" s="1">
        <v>5.0</v>
      </c>
      <c r="C856" s="1">
        <v>0.0</v>
      </c>
      <c r="D856" s="1">
        <v>0.0</v>
      </c>
      <c r="E856" s="1">
        <v>0.0</v>
      </c>
      <c r="F856" s="1">
        <v>0.0</v>
      </c>
    </row>
    <row r="857">
      <c r="A857" s="1" t="s">
        <v>219</v>
      </c>
      <c r="B857" s="1">
        <v>36.0</v>
      </c>
      <c r="C857" s="1">
        <v>0.0</v>
      </c>
      <c r="D857" s="1">
        <v>0.0</v>
      </c>
      <c r="E857" s="1">
        <v>0.0</v>
      </c>
      <c r="F857" s="1">
        <v>0.0</v>
      </c>
    </row>
    <row r="858">
      <c r="A858" s="1" t="s">
        <v>799</v>
      </c>
      <c r="B858" s="1">
        <v>43.0</v>
      </c>
      <c r="C858" s="1">
        <v>0.0</v>
      </c>
      <c r="D858" s="1">
        <v>0.0</v>
      </c>
      <c r="E858" s="1">
        <v>0.0</v>
      </c>
      <c r="F858" s="1">
        <v>0.0</v>
      </c>
    </row>
    <row r="859">
      <c r="A859" s="1" t="s">
        <v>1467</v>
      </c>
      <c r="B859" s="1">
        <v>11.0</v>
      </c>
      <c r="C859" s="1">
        <v>0.0</v>
      </c>
      <c r="D859" s="1">
        <v>0.0</v>
      </c>
      <c r="E859" s="1">
        <v>0.0</v>
      </c>
      <c r="F859" s="1">
        <v>0.0</v>
      </c>
    </row>
    <row r="860">
      <c r="A860" s="1" t="s">
        <v>1252</v>
      </c>
      <c r="B860" s="1">
        <v>7.0</v>
      </c>
      <c r="C860" s="1">
        <v>0.0</v>
      </c>
      <c r="D860" s="1">
        <v>0.0</v>
      </c>
      <c r="E860" s="1">
        <v>0.0</v>
      </c>
      <c r="F860" s="1">
        <v>0.0</v>
      </c>
    </row>
    <row r="861">
      <c r="A861" s="1" t="s">
        <v>1854</v>
      </c>
      <c r="B861" s="1">
        <v>31.0</v>
      </c>
      <c r="C861" s="1">
        <v>0.0</v>
      </c>
      <c r="D861" s="1">
        <v>0.0</v>
      </c>
      <c r="E861" s="1">
        <v>0.0</v>
      </c>
      <c r="F861" s="1">
        <v>0.0</v>
      </c>
    </row>
    <row r="862">
      <c r="A862" s="1" t="s">
        <v>875</v>
      </c>
      <c r="B862" s="1">
        <v>45.0</v>
      </c>
      <c r="C862" s="1">
        <v>0.0</v>
      </c>
      <c r="D862" s="1">
        <v>0.0</v>
      </c>
      <c r="E862" s="1">
        <v>0.0</v>
      </c>
      <c r="F862" s="1">
        <v>0.0</v>
      </c>
    </row>
    <row r="863">
      <c r="A863" s="1" t="s">
        <v>212</v>
      </c>
      <c r="B863" s="1">
        <v>77.0</v>
      </c>
      <c r="C863" s="1">
        <v>0.0</v>
      </c>
      <c r="D863" s="1">
        <v>0.0</v>
      </c>
      <c r="E863" s="1">
        <v>0.0</v>
      </c>
      <c r="F863" s="1">
        <v>0.0</v>
      </c>
    </row>
    <row r="864">
      <c r="A864" s="1" t="s">
        <v>551</v>
      </c>
      <c r="B864" s="1">
        <v>5.0</v>
      </c>
      <c r="C864" s="1">
        <v>0.0</v>
      </c>
      <c r="D864" s="1">
        <v>0.0</v>
      </c>
      <c r="E864" s="1">
        <v>0.0</v>
      </c>
      <c r="F864" s="1">
        <v>0.0</v>
      </c>
    </row>
    <row r="865">
      <c r="A865" s="1" t="s">
        <v>1545</v>
      </c>
      <c r="B865" s="1">
        <v>22.0</v>
      </c>
      <c r="C865" s="1">
        <v>0.0</v>
      </c>
      <c r="D865" s="1">
        <v>0.0</v>
      </c>
      <c r="E865" s="1">
        <v>0.0</v>
      </c>
      <c r="F865" s="1">
        <v>0.0</v>
      </c>
    </row>
    <row r="866">
      <c r="A866" s="1" t="s">
        <v>2013</v>
      </c>
      <c r="B866" s="1">
        <v>64.0</v>
      </c>
      <c r="C866" s="1">
        <v>0.0</v>
      </c>
      <c r="D866" s="1">
        <v>0.0</v>
      </c>
      <c r="E866" s="1">
        <v>0.0</v>
      </c>
      <c r="F866" s="1">
        <v>0.0</v>
      </c>
    </row>
    <row r="867">
      <c r="A867" s="1" t="s">
        <v>1530</v>
      </c>
      <c r="B867" s="1">
        <v>40.0</v>
      </c>
      <c r="C867" s="1">
        <v>0.0</v>
      </c>
      <c r="D867" s="1">
        <v>0.0</v>
      </c>
      <c r="E867" s="1">
        <v>0.0</v>
      </c>
      <c r="F867" s="1">
        <v>0.0</v>
      </c>
    </row>
    <row r="868">
      <c r="A868" s="1" t="s">
        <v>899</v>
      </c>
      <c r="B868" s="1">
        <v>65.0</v>
      </c>
      <c r="C868" s="1">
        <v>0.0</v>
      </c>
      <c r="D868" s="1">
        <v>0.0</v>
      </c>
      <c r="E868" s="1">
        <v>0.0</v>
      </c>
      <c r="F868" s="1">
        <v>0.0</v>
      </c>
    </row>
    <row r="869">
      <c r="A869" s="1" t="s">
        <v>290</v>
      </c>
      <c r="B869" s="1">
        <v>35.0</v>
      </c>
      <c r="C869" s="1">
        <v>0.0</v>
      </c>
      <c r="D869" s="1">
        <v>0.0</v>
      </c>
      <c r="E869" s="1">
        <v>0.0</v>
      </c>
      <c r="F869" s="1">
        <v>0.0</v>
      </c>
    </row>
    <row r="870">
      <c r="A870" s="1" t="s">
        <v>577</v>
      </c>
      <c r="B870" s="1">
        <v>10.0</v>
      </c>
      <c r="C870" s="1">
        <v>0.0</v>
      </c>
      <c r="D870" s="1">
        <v>0.0</v>
      </c>
      <c r="E870" s="1">
        <v>0.0</v>
      </c>
      <c r="F870" s="1">
        <v>0.0</v>
      </c>
    </row>
    <row r="871">
      <c r="A871" s="1" t="s">
        <v>785</v>
      </c>
      <c r="B871" s="1">
        <v>37.0</v>
      </c>
      <c r="C871" s="1">
        <v>0.0</v>
      </c>
      <c r="D871" s="1">
        <v>0.0</v>
      </c>
      <c r="E871" s="1">
        <v>0.0</v>
      </c>
      <c r="F871" s="1">
        <v>0.0</v>
      </c>
    </row>
    <row r="872">
      <c r="A872" s="1" t="s">
        <v>1258</v>
      </c>
      <c r="B872" s="1">
        <v>27.0</v>
      </c>
      <c r="C872" s="1">
        <v>0.0</v>
      </c>
      <c r="D872" s="1">
        <v>0.0</v>
      </c>
      <c r="E872" s="1">
        <v>0.0</v>
      </c>
      <c r="F872" s="1">
        <v>0.0</v>
      </c>
    </row>
    <row r="873">
      <c r="A873" s="1" t="s">
        <v>1469</v>
      </c>
      <c r="B873" s="1">
        <v>20.0</v>
      </c>
      <c r="C873" s="1">
        <v>0.0</v>
      </c>
      <c r="D873" s="1">
        <v>0.0</v>
      </c>
      <c r="E873" s="1">
        <v>0.0</v>
      </c>
      <c r="F873" s="1">
        <v>0.0</v>
      </c>
    </row>
    <row r="874">
      <c r="A874" s="1" t="s">
        <v>260</v>
      </c>
      <c r="B874" s="1">
        <v>12.0</v>
      </c>
      <c r="C874" s="1">
        <v>0.0</v>
      </c>
      <c r="D874" s="1">
        <v>0.0</v>
      </c>
      <c r="E874" s="1">
        <v>0.0</v>
      </c>
      <c r="F874" s="1">
        <v>0.0</v>
      </c>
    </row>
    <row r="875">
      <c r="A875" s="1" t="s">
        <v>901</v>
      </c>
      <c r="B875" s="1">
        <v>88.0</v>
      </c>
      <c r="C875" s="1">
        <v>0.0</v>
      </c>
      <c r="D875" s="1">
        <v>0.0</v>
      </c>
      <c r="E875" s="1">
        <v>0.0</v>
      </c>
      <c r="F875" s="1">
        <v>0.0</v>
      </c>
    </row>
    <row r="876">
      <c r="A876" s="1" t="s">
        <v>618</v>
      </c>
      <c r="B876" s="1">
        <v>50.0</v>
      </c>
      <c r="C876" s="1">
        <v>0.0</v>
      </c>
      <c r="D876" s="1">
        <v>0.0</v>
      </c>
      <c r="E876" s="1">
        <v>0.0</v>
      </c>
      <c r="F876" s="1">
        <v>0.0</v>
      </c>
    </row>
    <row r="877">
      <c r="A877" s="1" t="s">
        <v>1634</v>
      </c>
      <c r="B877" s="1">
        <v>32.0</v>
      </c>
      <c r="C877" s="1">
        <v>0.0</v>
      </c>
      <c r="D877" s="1">
        <v>0.0</v>
      </c>
      <c r="E877" s="1">
        <v>0.0</v>
      </c>
      <c r="F877" s="1">
        <v>0.0</v>
      </c>
    </row>
    <row r="878">
      <c r="A878" s="1" t="s">
        <v>1113</v>
      </c>
      <c r="B878" s="1">
        <v>110.0</v>
      </c>
      <c r="C878" s="1">
        <v>0.0</v>
      </c>
      <c r="D878" s="1">
        <v>0.0</v>
      </c>
      <c r="E878" s="1">
        <v>0.0</v>
      </c>
      <c r="F878" s="1">
        <v>0.0</v>
      </c>
    </row>
    <row r="879">
      <c r="A879" s="1" t="s">
        <v>1994</v>
      </c>
      <c r="B879" s="1">
        <v>267.0</v>
      </c>
      <c r="C879" s="1">
        <v>0.0</v>
      </c>
      <c r="D879" s="1">
        <v>0.0</v>
      </c>
      <c r="E879" s="1">
        <v>0.0</v>
      </c>
      <c r="F879" s="1">
        <v>0.0</v>
      </c>
    </row>
    <row r="880">
      <c r="A880" s="1" t="s">
        <v>542</v>
      </c>
      <c r="B880" s="1">
        <v>9.0</v>
      </c>
      <c r="C880" s="1">
        <v>0.0</v>
      </c>
      <c r="D880" s="1">
        <v>0.0</v>
      </c>
      <c r="E880" s="1">
        <v>0.0</v>
      </c>
      <c r="F880" s="1">
        <v>0.0</v>
      </c>
    </row>
    <row r="881">
      <c r="A881" s="1" t="s">
        <v>1432</v>
      </c>
      <c r="B881" s="1">
        <v>86.0</v>
      </c>
      <c r="C881" s="1">
        <v>0.0</v>
      </c>
      <c r="D881" s="1">
        <v>0.0</v>
      </c>
      <c r="E881" s="1">
        <v>0.0</v>
      </c>
      <c r="F881" s="1">
        <v>0.0</v>
      </c>
    </row>
    <row r="882">
      <c r="A882" s="1" t="s">
        <v>950</v>
      </c>
      <c r="B882" s="1">
        <v>15.0</v>
      </c>
      <c r="C882" s="1">
        <v>0.0</v>
      </c>
      <c r="D882" s="1">
        <v>0.0</v>
      </c>
      <c r="E882" s="1">
        <v>0.0</v>
      </c>
      <c r="F882" s="1">
        <v>0.0</v>
      </c>
    </row>
    <row r="883">
      <c r="A883" s="1" t="s">
        <v>1153</v>
      </c>
      <c r="B883" s="1">
        <v>5.0</v>
      </c>
      <c r="C883" s="1">
        <v>0.0</v>
      </c>
      <c r="D883" s="1">
        <v>0.0</v>
      </c>
      <c r="E883" s="1">
        <v>0.0</v>
      </c>
      <c r="F883" s="1">
        <v>0.0</v>
      </c>
    </row>
    <row r="884">
      <c r="A884" s="1" t="s">
        <v>275</v>
      </c>
      <c r="B884" s="1">
        <v>20.0</v>
      </c>
      <c r="C884" s="1">
        <v>0.0</v>
      </c>
      <c r="D884" s="1">
        <v>0.0</v>
      </c>
      <c r="E884" s="1">
        <v>0.0</v>
      </c>
      <c r="F884" s="1">
        <v>0.0</v>
      </c>
    </row>
    <row r="885">
      <c r="A885" s="1" t="s">
        <v>968</v>
      </c>
      <c r="B885" s="1">
        <v>4.0</v>
      </c>
      <c r="C885" s="1">
        <v>0.0</v>
      </c>
      <c r="D885" s="1">
        <v>0.0</v>
      </c>
      <c r="E885" s="1">
        <v>0.0</v>
      </c>
      <c r="F885" s="1">
        <v>0.0</v>
      </c>
    </row>
    <row r="886">
      <c r="A886" s="1" t="s">
        <v>1522</v>
      </c>
      <c r="B886" s="1">
        <v>5.0</v>
      </c>
      <c r="C886" s="1">
        <v>0.0</v>
      </c>
      <c r="D886" s="1">
        <v>0.0</v>
      </c>
      <c r="E886" s="1">
        <v>0.0</v>
      </c>
      <c r="F886" s="1">
        <v>0.0</v>
      </c>
    </row>
    <row r="887">
      <c r="A887" s="1" t="s">
        <v>1011</v>
      </c>
      <c r="B887" s="1">
        <v>24.0</v>
      </c>
      <c r="C887" s="1">
        <v>0.0</v>
      </c>
      <c r="D887" s="1">
        <v>0.0</v>
      </c>
      <c r="E887" s="1">
        <v>0.0</v>
      </c>
      <c r="F887" s="1">
        <v>0.0</v>
      </c>
    </row>
    <row r="888">
      <c r="A888" s="1" t="s">
        <v>1709</v>
      </c>
      <c r="B888" s="1">
        <v>23.0</v>
      </c>
      <c r="C888" s="1">
        <v>0.0</v>
      </c>
      <c r="D888" s="1">
        <v>0.0</v>
      </c>
      <c r="E888" s="1">
        <v>0.0</v>
      </c>
      <c r="F888" s="1">
        <v>0.0</v>
      </c>
    </row>
    <row r="889">
      <c r="A889" s="1" t="s">
        <v>1552</v>
      </c>
      <c r="B889" s="1">
        <v>55.0</v>
      </c>
      <c r="C889" s="1">
        <v>0.0</v>
      </c>
      <c r="D889" s="1">
        <v>0.0</v>
      </c>
      <c r="E889" s="1">
        <v>0.0</v>
      </c>
      <c r="F889" s="1">
        <v>0.0</v>
      </c>
    </row>
    <row r="890">
      <c r="A890" s="1" t="s">
        <v>364</v>
      </c>
      <c r="B890" s="1">
        <v>40.0</v>
      </c>
      <c r="C890" s="1">
        <v>0.0</v>
      </c>
      <c r="D890" s="1">
        <v>0.0</v>
      </c>
      <c r="E890" s="1">
        <v>0.0</v>
      </c>
      <c r="F890" s="1">
        <v>0.0</v>
      </c>
    </row>
    <row r="891">
      <c r="A891" s="1" t="s">
        <v>876</v>
      </c>
      <c r="B891" s="1">
        <v>43.0</v>
      </c>
      <c r="C891" s="1">
        <v>0.0</v>
      </c>
      <c r="D891" s="1">
        <v>0.0</v>
      </c>
      <c r="E891" s="1">
        <v>0.0</v>
      </c>
      <c r="F891" s="1">
        <v>0.0</v>
      </c>
    </row>
    <row r="892">
      <c r="A892" s="1" t="s">
        <v>1557</v>
      </c>
      <c r="B892" s="1">
        <v>126.0</v>
      </c>
      <c r="C892" s="1">
        <v>0.0</v>
      </c>
      <c r="D892" s="1">
        <v>0.0</v>
      </c>
      <c r="E892" s="1">
        <v>0.0</v>
      </c>
      <c r="F892" s="1">
        <v>0.0</v>
      </c>
    </row>
    <row r="893">
      <c r="A893" s="1" t="s">
        <v>994</v>
      </c>
      <c r="B893" s="1">
        <v>49.0</v>
      </c>
      <c r="C893" s="1">
        <v>0.0</v>
      </c>
      <c r="D893" s="1">
        <v>0.0</v>
      </c>
      <c r="E893" s="1">
        <v>0.0</v>
      </c>
      <c r="F893" s="1">
        <v>0.0</v>
      </c>
    </row>
    <row r="894">
      <c r="A894" s="1" t="s">
        <v>494</v>
      </c>
      <c r="B894" s="1">
        <v>31.0</v>
      </c>
      <c r="C894" s="1">
        <v>0.0</v>
      </c>
      <c r="D894" s="1">
        <v>0.0</v>
      </c>
      <c r="E894" s="1">
        <v>0.0</v>
      </c>
      <c r="F894" s="1">
        <v>0.0</v>
      </c>
    </row>
    <row r="895">
      <c r="A895" s="1" t="s">
        <v>2055</v>
      </c>
      <c r="B895" s="1">
        <v>7.0</v>
      </c>
      <c r="C895" s="1">
        <v>0.0</v>
      </c>
      <c r="D895" s="1">
        <v>0.0</v>
      </c>
      <c r="E895" s="1">
        <v>0.0</v>
      </c>
      <c r="F895" s="1">
        <v>0.0</v>
      </c>
    </row>
    <row r="896">
      <c r="A896" s="1" t="s">
        <v>1905</v>
      </c>
      <c r="B896" s="1">
        <v>38.0</v>
      </c>
      <c r="C896" s="1">
        <v>0.0</v>
      </c>
      <c r="D896" s="1">
        <v>0.0</v>
      </c>
      <c r="E896" s="1">
        <v>0.0</v>
      </c>
      <c r="F896" s="1">
        <v>0.0</v>
      </c>
    </row>
    <row r="897">
      <c r="A897" s="1" t="s">
        <v>196</v>
      </c>
      <c r="B897" s="1">
        <v>44.0</v>
      </c>
      <c r="C897" s="1">
        <v>0.0</v>
      </c>
      <c r="D897" s="1">
        <v>0.0</v>
      </c>
      <c r="E897" s="1">
        <v>0.0</v>
      </c>
      <c r="F897" s="1">
        <v>0.0</v>
      </c>
    </row>
    <row r="898">
      <c r="A898" s="1" t="s">
        <v>713</v>
      </c>
      <c r="B898" s="1">
        <v>28.0</v>
      </c>
      <c r="C898" s="1">
        <v>0.0</v>
      </c>
      <c r="D898" s="1">
        <v>0.0</v>
      </c>
      <c r="E898" s="1">
        <v>0.0</v>
      </c>
      <c r="F898" s="1">
        <v>0.0</v>
      </c>
    </row>
    <row r="899">
      <c r="A899" s="1" t="s">
        <v>1892</v>
      </c>
      <c r="B899" s="1">
        <v>163.0</v>
      </c>
      <c r="C899" s="1">
        <v>1.0</v>
      </c>
      <c r="D899" s="1">
        <v>0.0</v>
      </c>
      <c r="E899" s="1">
        <v>0.0</v>
      </c>
      <c r="F899" s="1">
        <v>0.0</v>
      </c>
    </row>
    <row r="900">
      <c r="A900" s="1" t="s">
        <v>922</v>
      </c>
      <c r="B900" s="1">
        <v>15.0</v>
      </c>
      <c r="C900" s="1">
        <v>0.0</v>
      </c>
      <c r="D900" s="1">
        <v>0.0</v>
      </c>
      <c r="E900" s="1">
        <v>0.0</v>
      </c>
      <c r="F900" s="1">
        <v>0.0</v>
      </c>
    </row>
    <row r="901">
      <c r="A901" s="1" t="s">
        <v>537</v>
      </c>
      <c r="B901" s="1">
        <v>92.0</v>
      </c>
      <c r="C901" s="1">
        <v>0.0</v>
      </c>
      <c r="D901" s="1">
        <v>0.0</v>
      </c>
      <c r="E901" s="1">
        <v>0.0</v>
      </c>
      <c r="F901" s="1">
        <v>0.0</v>
      </c>
    </row>
    <row r="902">
      <c r="A902" s="1" t="s">
        <v>1322</v>
      </c>
      <c r="B902" s="1">
        <v>32.0</v>
      </c>
      <c r="C902" s="1">
        <v>0.0</v>
      </c>
      <c r="D902" s="1">
        <v>0.0</v>
      </c>
      <c r="E902" s="1">
        <v>0.0</v>
      </c>
      <c r="F902" s="1">
        <v>0.0</v>
      </c>
    </row>
    <row r="903">
      <c r="A903" s="1" t="s">
        <v>1425</v>
      </c>
      <c r="B903" s="1">
        <v>129.0</v>
      </c>
      <c r="C903" s="1">
        <v>0.0</v>
      </c>
      <c r="D903" s="1">
        <v>0.0</v>
      </c>
      <c r="E903" s="1">
        <v>0.0</v>
      </c>
      <c r="F903" s="1">
        <v>0.0</v>
      </c>
    </row>
    <row r="904">
      <c r="A904" s="1" t="s">
        <v>1498</v>
      </c>
      <c r="B904" s="1">
        <v>90.0</v>
      </c>
      <c r="C904" s="1">
        <v>0.0</v>
      </c>
      <c r="D904" s="1">
        <v>0.0</v>
      </c>
      <c r="E904" s="1">
        <v>0.0</v>
      </c>
      <c r="F904" s="1">
        <v>0.0</v>
      </c>
    </row>
    <row r="905">
      <c r="A905" s="1" t="s">
        <v>1155</v>
      </c>
      <c r="B905" s="1">
        <v>150.0</v>
      </c>
      <c r="C905" s="1">
        <v>1.0</v>
      </c>
      <c r="D905" s="1">
        <v>0.0</v>
      </c>
      <c r="E905" s="1">
        <v>0.0</v>
      </c>
      <c r="F905" s="1">
        <v>0.0</v>
      </c>
    </row>
    <row r="906">
      <c r="A906" s="1" t="s">
        <v>322</v>
      </c>
      <c r="B906" s="1">
        <v>33.0</v>
      </c>
      <c r="C906" s="1">
        <v>0.0</v>
      </c>
      <c r="D906" s="1">
        <v>0.0</v>
      </c>
      <c r="E906" s="1">
        <v>0.0</v>
      </c>
      <c r="F906" s="1">
        <v>0.0</v>
      </c>
    </row>
    <row r="907">
      <c r="A907" s="1" t="s">
        <v>1006</v>
      </c>
      <c r="B907" s="1">
        <v>103.0</v>
      </c>
      <c r="C907" s="1">
        <v>0.0</v>
      </c>
      <c r="D907" s="1">
        <v>0.0</v>
      </c>
      <c r="E907" s="1">
        <v>0.0</v>
      </c>
      <c r="F907" s="1">
        <v>0.0</v>
      </c>
    </row>
    <row r="908">
      <c r="A908" s="1" t="s">
        <v>496</v>
      </c>
      <c r="B908" s="1">
        <v>31.0</v>
      </c>
      <c r="C908" s="1">
        <v>0.0</v>
      </c>
      <c r="D908" s="1">
        <v>0.0</v>
      </c>
      <c r="E908" s="1">
        <v>0.0</v>
      </c>
      <c r="F908" s="1">
        <v>0.0</v>
      </c>
    </row>
    <row r="909">
      <c r="A909" s="1" t="s">
        <v>890</v>
      </c>
      <c r="B909" s="1">
        <v>10.0</v>
      </c>
      <c r="C909" s="1">
        <v>0.0</v>
      </c>
      <c r="D909" s="1">
        <v>0.0</v>
      </c>
      <c r="E909" s="1">
        <v>0.0</v>
      </c>
      <c r="F909" s="1">
        <v>0.0</v>
      </c>
    </row>
    <row r="910">
      <c r="A910" s="1" t="s">
        <v>404</v>
      </c>
      <c r="B910" s="1">
        <v>26.0</v>
      </c>
      <c r="C910" s="1">
        <v>0.0</v>
      </c>
      <c r="D910" s="1">
        <v>0.0</v>
      </c>
      <c r="E910" s="1">
        <v>0.0</v>
      </c>
      <c r="F910" s="1">
        <v>0.0</v>
      </c>
    </row>
    <row r="911">
      <c r="A911" s="1" t="s">
        <v>2044</v>
      </c>
      <c r="B911" s="1">
        <v>32.0</v>
      </c>
      <c r="C911" s="1">
        <v>0.0</v>
      </c>
      <c r="D911" s="1">
        <v>0.0</v>
      </c>
      <c r="E911" s="1">
        <v>0.0</v>
      </c>
      <c r="F911" s="1">
        <v>0.0</v>
      </c>
    </row>
    <row r="912">
      <c r="A912" s="1" t="s">
        <v>321</v>
      </c>
      <c r="B912" s="1">
        <v>140.0</v>
      </c>
      <c r="C912" s="1">
        <v>1.0</v>
      </c>
      <c r="D912" s="1">
        <v>0.0</v>
      </c>
      <c r="E912" s="1">
        <v>0.0</v>
      </c>
      <c r="F912" s="1">
        <v>0.0</v>
      </c>
    </row>
    <row r="913">
      <c r="A913" s="1" t="s">
        <v>1632</v>
      </c>
      <c r="B913" s="1">
        <v>36.0</v>
      </c>
      <c r="C913" s="1">
        <v>0.0</v>
      </c>
      <c r="D913" s="1">
        <v>0.0</v>
      </c>
      <c r="E913" s="1">
        <v>0.0</v>
      </c>
      <c r="F913" s="1">
        <v>0.0</v>
      </c>
    </row>
    <row r="914">
      <c r="A914" s="1" t="s">
        <v>1101</v>
      </c>
      <c r="B914" s="1">
        <v>73.0</v>
      </c>
      <c r="C914" s="1">
        <v>0.0</v>
      </c>
      <c r="D914" s="1">
        <v>0.0</v>
      </c>
      <c r="E914" s="1">
        <v>0.0</v>
      </c>
      <c r="F914" s="1">
        <v>0.0</v>
      </c>
    </row>
    <row r="915">
      <c r="A915" s="1" t="s">
        <v>1398</v>
      </c>
      <c r="B915" s="1">
        <v>15.0</v>
      </c>
      <c r="C915" s="1">
        <v>0.0</v>
      </c>
      <c r="D915" s="1">
        <v>0.0</v>
      </c>
      <c r="E915" s="1">
        <v>0.0</v>
      </c>
      <c r="F915" s="1">
        <v>0.0</v>
      </c>
    </row>
    <row r="916">
      <c r="A916" s="1" t="s">
        <v>1143</v>
      </c>
      <c r="B916" s="1">
        <v>22.0</v>
      </c>
      <c r="C916" s="1">
        <v>0.0</v>
      </c>
      <c r="D916" s="1">
        <v>0.0</v>
      </c>
      <c r="E916" s="1">
        <v>0.0</v>
      </c>
      <c r="F916" s="1">
        <v>0.0</v>
      </c>
    </row>
    <row r="917">
      <c r="A917" s="1" t="s">
        <v>239</v>
      </c>
      <c r="B917" s="1">
        <v>26.0</v>
      </c>
      <c r="C917" s="1">
        <v>0.0</v>
      </c>
      <c r="D917" s="1">
        <v>0.0</v>
      </c>
      <c r="E917" s="1">
        <v>0.0</v>
      </c>
      <c r="F917" s="1">
        <v>0.0</v>
      </c>
    </row>
    <row r="918">
      <c r="A918" s="1" t="s">
        <v>421</v>
      </c>
      <c r="B918" s="1">
        <v>41.0</v>
      </c>
      <c r="C918" s="1">
        <v>0.0</v>
      </c>
      <c r="D918" s="1">
        <v>0.0</v>
      </c>
      <c r="E918" s="1">
        <v>0.0</v>
      </c>
      <c r="F918" s="1">
        <v>0.0</v>
      </c>
    </row>
    <row r="919">
      <c r="A919" s="1" t="s">
        <v>1521</v>
      </c>
      <c r="B919" s="1">
        <v>44.0</v>
      </c>
      <c r="C919" s="1">
        <v>0.0</v>
      </c>
      <c r="D919" s="1">
        <v>0.0</v>
      </c>
      <c r="E919" s="1">
        <v>0.0</v>
      </c>
      <c r="F919" s="1">
        <v>0.0</v>
      </c>
    </row>
    <row r="920">
      <c r="A920" s="1" t="s">
        <v>1524</v>
      </c>
      <c r="B920" s="1">
        <v>33.0</v>
      </c>
      <c r="C920" s="1">
        <v>0.0</v>
      </c>
      <c r="D920" s="1">
        <v>0.0</v>
      </c>
      <c r="E920" s="1">
        <v>0.0</v>
      </c>
      <c r="F920" s="1">
        <v>0.0</v>
      </c>
    </row>
    <row r="921">
      <c r="A921" s="1" t="s">
        <v>1384</v>
      </c>
      <c r="B921" s="1">
        <v>26.0</v>
      </c>
      <c r="C921" s="1">
        <v>0.0</v>
      </c>
      <c r="D921" s="1">
        <v>0.0</v>
      </c>
      <c r="E921" s="1">
        <v>0.0</v>
      </c>
      <c r="F921" s="1">
        <v>0.0</v>
      </c>
    </row>
    <row r="922">
      <c r="A922" s="1" t="s">
        <v>1043</v>
      </c>
      <c r="B922" s="1">
        <v>25.0</v>
      </c>
      <c r="C922" s="1">
        <v>0.0</v>
      </c>
      <c r="D922" s="1">
        <v>0.0</v>
      </c>
      <c r="E922" s="1">
        <v>0.0</v>
      </c>
      <c r="F922" s="1">
        <v>0.0</v>
      </c>
    </row>
    <row r="923">
      <c r="A923" s="1" t="s">
        <v>207</v>
      </c>
      <c r="B923" s="1">
        <v>34.0</v>
      </c>
      <c r="C923" s="1">
        <v>0.0</v>
      </c>
      <c r="D923" s="1">
        <v>0.0</v>
      </c>
      <c r="E923" s="1">
        <v>0.0</v>
      </c>
      <c r="F923" s="1">
        <v>0.0</v>
      </c>
    </row>
    <row r="924">
      <c r="A924" s="1" t="s">
        <v>1842</v>
      </c>
      <c r="B924" s="1">
        <v>36.0</v>
      </c>
      <c r="C924" s="1">
        <v>0.0</v>
      </c>
      <c r="D924" s="1">
        <v>0.0</v>
      </c>
      <c r="E924" s="1">
        <v>0.0</v>
      </c>
      <c r="F924" s="1">
        <v>0.0</v>
      </c>
    </row>
    <row r="925">
      <c r="A925" s="1" t="s">
        <v>1695</v>
      </c>
      <c r="B925" s="1">
        <v>25.0</v>
      </c>
      <c r="C925" s="1">
        <v>0.0</v>
      </c>
      <c r="D925" s="1">
        <v>0.0</v>
      </c>
      <c r="E925" s="1">
        <v>0.0</v>
      </c>
      <c r="F925" s="1">
        <v>0.0</v>
      </c>
    </row>
    <row r="926">
      <c r="A926" s="1" t="s">
        <v>1693</v>
      </c>
      <c r="B926" s="1">
        <v>26.0</v>
      </c>
      <c r="C926" s="1">
        <v>0.0</v>
      </c>
      <c r="D926" s="1">
        <v>0.0</v>
      </c>
      <c r="E926" s="1">
        <v>0.0</v>
      </c>
      <c r="F926" s="1">
        <v>0.0</v>
      </c>
    </row>
    <row r="927">
      <c r="A927" s="1" t="s">
        <v>1410</v>
      </c>
      <c r="B927" s="1">
        <v>79.0</v>
      </c>
      <c r="C927" s="1">
        <v>0.0</v>
      </c>
      <c r="D927" s="1">
        <v>0.0</v>
      </c>
      <c r="E927" s="1">
        <v>0.0</v>
      </c>
      <c r="F927" s="1">
        <v>0.0</v>
      </c>
    </row>
    <row r="928">
      <c r="A928" s="1" t="s">
        <v>1114</v>
      </c>
      <c r="B928" s="1">
        <v>56.0</v>
      </c>
      <c r="C928" s="1">
        <v>0.0</v>
      </c>
      <c r="D928" s="1">
        <v>0.0</v>
      </c>
      <c r="E928" s="1">
        <v>0.0</v>
      </c>
      <c r="F928" s="1">
        <v>0.0</v>
      </c>
    </row>
    <row r="929">
      <c r="A929" s="1" t="s">
        <v>915</v>
      </c>
      <c r="B929" s="1">
        <v>149.0</v>
      </c>
      <c r="C929" s="1">
        <v>0.0</v>
      </c>
      <c r="D929" s="1">
        <v>0.0</v>
      </c>
      <c r="E929" s="1">
        <v>0.0</v>
      </c>
      <c r="F929" s="1">
        <v>0.0</v>
      </c>
    </row>
    <row r="930">
      <c r="A930" s="1" t="s">
        <v>1511</v>
      </c>
      <c r="B930" s="1">
        <v>9.0</v>
      </c>
      <c r="C930" s="1">
        <v>0.0</v>
      </c>
      <c r="D930" s="1">
        <v>0.0</v>
      </c>
      <c r="E930" s="1">
        <v>0.0</v>
      </c>
      <c r="F930" s="1">
        <v>0.0</v>
      </c>
    </row>
    <row r="931">
      <c r="A931" s="1" t="s">
        <v>1630</v>
      </c>
      <c r="B931" s="1">
        <v>38.0</v>
      </c>
      <c r="C931" s="1">
        <v>0.0</v>
      </c>
      <c r="D931" s="1">
        <v>0.0</v>
      </c>
      <c r="E931" s="1">
        <v>0.0</v>
      </c>
      <c r="F931" s="1">
        <v>0.0</v>
      </c>
    </row>
    <row r="932">
      <c r="A932" s="1" t="s">
        <v>1517</v>
      </c>
      <c r="B932" s="1">
        <v>4.0</v>
      </c>
      <c r="C932" s="1">
        <v>0.0</v>
      </c>
      <c r="D932" s="1">
        <v>0.0</v>
      </c>
      <c r="E932" s="1">
        <v>0.0</v>
      </c>
      <c r="F932" s="1">
        <v>0.0</v>
      </c>
    </row>
    <row r="933">
      <c r="A933" s="1" t="s">
        <v>1481</v>
      </c>
      <c r="B933" s="1">
        <v>69.0</v>
      </c>
      <c r="C933" s="1">
        <v>0.0</v>
      </c>
      <c r="D933" s="1">
        <v>0.0</v>
      </c>
      <c r="E933" s="1">
        <v>0.0</v>
      </c>
      <c r="F933" s="1">
        <v>0.0</v>
      </c>
    </row>
    <row r="934">
      <c r="A934" s="1" t="s">
        <v>1164</v>
      </c>
      <c r="B934" s="1">
        <v>23.0</v>
      </c>
      <c r="C934" s="1">
        <v>0.0</v>
      </c>
      <c r="D934" s="1">
        <v>0.0</v>
      </c>
      <c r="E934" s="1">
        <v>0.0</v>
      </c>
      <c r="F934" s="1">
        <v>0.0</v>
      </c>
    </row>
    <row r="935">
      <c r="A935" s="1" t="s">
        <v>902</v>
      </c>
      <c r="B935" s="1">
        <v>83.0</v>
      </c>
      <c r="C935" s="1">
        <v>0.0</v>
      </c>
      <c r="D935" s="1">
        <v>0.0</v>
      </c>
      <c r="E935" s="1">
        <v>0.0</v>
      </c>
      <c r="F935" s="1">
        <v>0.0</v>
      </c>
    </row>
    <row r="936">
      <c r="A936" s="1" t="s">
        <v>1792</v>
      </c>
      <c r="B936" s="1">
        <v>11.0</v>
      </c>
      <c r="C936" s="1">
        <v>0.0</v>
      </c>
      <c r="D936" s="1">
        <v>0.0</v>
      </c>
      <c r="E936" s="1">
        <v>0.0</v>
      </c>
      <c r="F936" s="1">
        <v>0.0</v>
      </c>
    </row>
    <row r="937">
      <c r="A937" s="1" t="s">
        <v>194</v>
      </c>
      <c r="B937" s="1">
        <v>12.0</v>
      </c>
      <c r="C937" s="1">
        <v>0.0</v>
      </c>
      <c r="D937" s="1">
        <v>0.0</v>
      </c>
      <c r="E937" s="1">
        <v>0.0</v>
      </c>
      <c r="F937" s="1">
        <v>0.0</v>
      </c>
    </row>
    <row r="938">
      <c r="A938" s="1" t="s">
        <v>1175</v>
      </c>
      <c r="B938" s="1">
        <v>21.0</v>
      </c>
      <c r="C938" s="1">
        <v>0.0</v>
      </c>
      <c r="D938" s="1">
        <v>0.0</v>
      </c>
      <c r="E938" s="1">
        <v>0.0</v>
      </c>
      <c r="F938" s="1">
        <v>0.0</v>
      </c>
    </row>
    <row r="939">
      <c r="A939" s="1" t="s">
        <v>697</v>
      </c>
      <c r="B939" s="1">
        <v>49.0</v>
      </c>
      <c r="C939" s="1">
        <v>0.0</v>
      </c>
      <c r="D939" s="1">
        <v>0.0</v>
      </c>
      <c r="E939" s="1">
        <v>0.0</v>
      </c>
      <c r="F939" s="1">
        <v>0.0</v>
      </c>
    </row>
    <row r="940">
      <c r="A940" s="1" t="s">
        <v>240</v>
      </c>
      <c r="B940" s="1">
        <v>70.0</v>
      </c>
      <c r="C940" s="1">
        <v>0.0</v>
      </c>
      <c r="D940" s="1">
        <v>0.0</v>
      </c>
      <c r="E940" s="1">
        <v>0.0</v>
      </c>
      <c r="F940" s="1">
        <v>0.0</v>
      </c>
    </row>
    <row r="941">
      <c r="A941" s="1" t="s">
        <v>485</v>
      </c>
      <c r="B941" s="1">
        <v>21.0</v>
      </c>
      <c r="C941" s="1">
        <v>0.0</v>
      </c>
      <c r="D941" s="1">
        <v>0.0</v>
      </c>
      <c r="E941" s="1">
        <v>0.0</v>
      </c>
      <c r="F941" s="1">
        <v>0.0</v>
      </c>
    </row>
    <row r="942">
      <c r="A942" s="1" t="s">
        <v>368</v>
      </c>
      <c r="B942" s="1">
        <v>17.0</v>
      </c>
      <c r="C942" s="1">
        <v>0.0</v>
      </c>
      <c r="D942" s="1">
        <v>0.0</v>
      </c>
      <c r="E942" s="1">
        <v>0.0</v>
      </c>
      <c r="F942" s="1">
        <v>0.0</v>
      </c>
    </row>
    <row r="943">
      <c r="A943" s="1" t="s">
        <v>446</v>
      </c>
      <c r="B943" s="1">
        <v>24.0</v>
      </c>
      <c r="C943" s="1">
        <v>0.0</v>
      </c>
      <c r="D943" s="1">
        <v>0.0</v>
      </c>
      <c r="E943" s="1">
        <v>0.0</v>
      </c>
      <c r="F943" s="1">
        <v>0.0</v>
      </c>
    </row>
    <row r="944">
      <c r="A944" s="1" t="s">
        <v>1520</v>
      </c>
      <c r="B944" s="1">
        <v>39.0</v>
      </c>
      <c r="C944" s="1">
        <v>0.0</v>
      </c>
      <c r="D944" s="1">
        <v>0.0</v>
      </c>
      <c r="E944" s="1">
        <v>0.0</v>
      </c>
      <c r="F944" s="1">
        <v>0.0</v>
      </c>
    </row>
    <row r="945">
      <c r="A945" s="1" t="s">
        <v>1017</v>
      </c>
      <c r="B945" s="1">
        <v>13.0</v>
      </c>
      <c r="C945" s="1">
        <v>0.0</v>
      </c>
      <c r="D945" s="1">
        <v>0.0</v>
      </c>
      <c r="E945" s="1">
        <v>0.0</v>
      </c>
      <c r="F945" s="1">
        <v>0.0</v>
      </c>
    </row>
    <row r="946">
      <c r="A946" s="1" t="s">
        <v>1858</v>
      </c>
      <c r="B946" s="1">
        <v>29.0</v>
      </c>
      <c r="C946" s="1">
        <v>0.0</v>
      </c>
      <c r="D946" s="1">
        <v>0.0</v>
      </c>
      <c r="E946" s="1">
        <v>0.0</v>
      </c>
      <c r="F946" s="1">
        <v>0.0</v>
      </c>
    </row>
    <row r="947">
      <c r="A947" s="1" t="s">
        <v>1712</v>
      </c>
      <c r="B947" s="1">
        <v>63.0</v>
      </c>
      <c r="C947" s="1">
        <v>0.0</v>
      </c>
      <c r="D947" s="1">
        <v>0.0</v>
      </c>
      <c r="E947" s="1">
        <v>0.0</v>
      </c>
      <c r="F947" s="1">
        <v>0.0</v>
      </c>
    </row>
    <row r="948">
      <c r="A948" s="1" t="s">
        <v>804</v>
      </c>
      <c r="B948" s="1">
        <v>141.0</v>
      </c>
      <c r="C948" s="1">
        <v>1.0</v>
      </c>
      <c r="D948" s="1">
        <v>0.0</v>
      </c>
      <c r="E948" s="1">
        <v>0.0</v>
      </c>
      <c r="F948" s="1">
        <v>0.0</v>
      </c>
    </row>
    <row r="949">
      <c r="A949" s="1" t="s">
        <v>1636</v>
      </c>
      <c r="B949" s="1">
        <v>35.0</v>
      </c>
      <c r="C949" s="1">
        <v>0.0</v>
      </c>
      <c r="D949" s="1">
        <v>0.0</v>
      </c>
      <c r="E949" s="1">
        <v>0.0</v>
      </c>
      <c r="F949" s="1">
        <v>0.0</v>
      </c>
    </row>
    <row r="950">
      <c r="A950" s="1" t="s">
        <v>878</v>
      </c>
      <c r="B950" s="1">
        <v>92.0</v>
      </c>
      <c r="C950" s="1">
        <v>0.0</v>
      </c>
      <c r="D950" s="1">
        <v>0.0</v>
      </c>
      <c r="E950" s="1">
        <v>0.0</v>
      </c>
      <c r="F950" s="1">
        <v>0.0</v>
      </c>
    </row>
    <row r="951">
      <c r="A951" s="1" t="s">
        <v>590</v>
      </c>
      <c r="B951" s="1">
        <v>43.0</v>
      </c>
      <c r="C951" s="1">
        <v>0.0</v>
      </c>
      <c r="D951" s="1">
        <v>0.0</v>
      </c>
      <c r="E951" s="1">
        <v>0.0</v>
      </c>
      <c r="F951" s="1">
        <v>0.0</v>
      </c>
    </row>
    <row r="952">
      <c r="A952" s="1" t="s">
        <v>2018</v>
      </c>
      <c r="B952" s="1">
        <v>178.0</v>
      </c>
      <c r="C952" s="1">
        <v>2.0</v>
      </c>
      <c r="D952" s="1">
        <v>0.0</v>
      </c>
      <c r="E952" s="1">
        <v>0.0</v>
      </c>
      <c r="F952" s="1">
        <v>0.0</v>
      </c>
    </row>
    <row r="953">
      <c r="A953" s="1" t="s">
        <v>384</v>
      </c>
      <c r="B953" s="1">
        <v>24.0</v>
      </c>
      <c r="C953" s="1">
        <v>0.0</v>
      </c>
      <c r="D953" s="1">
        <v>0.0</v>
      </c>
      <c r="E953" s="1">
        <v>0.0</v>
      </c>
      <c r="F953" s="1">
        <v>0.0</v>
      </c>
    </row>
    <row r="954">
      <c r="A954" s="1" t="s">
        <v>508</v>
      </c>
      <c r="B954" s="1">
        <v>68.0</v>
      </c>
      <c r="C954" s="1">
        <v>0.0</v>
      </c>
      <c r="D954" s="1">
        <v>0.0</v>
      </c>
      <c r="E954" s="1">
        <v>0.0</v>
      </c>
      <c r="F954" s="1">
        <v>0.0</v>
      </c>
    </row>
    <row r="955">
      <c r="A955" s="1" t="s">
        <v>454</v>
      </c>
      <c r="B955" s="1">
        <v>52.0</v>
      </c>
      <c r="C955" s="1">
        <v>0.0</v>
      </c>
      <c r="D955" s="1">
        <v>0.0</v>
      </c>
      <c r="E955" s="1">
        <v>0.0</v>
      </c>
      <c r="F955" s="1">
        <v>0.0</v>
      </c>
    </row>
    <row r="956">
      <c r="A956" s="1" t="s">
        <v>856</v>
      </c>
      <c r="B956" s="1">
        <v>40.0</v>
      </c>
      <c r="C956" s="1">
        <v>0.0</v>
      </c>
      <c r="D956" s="1">
        <v>0.0</v>
      </c>
      <c r="E956" s="1">
        <v>0.0</v>
      </c>
      <c r="F956" s="1">
        <v>0.0</v>
      </c>
    </row>
    <row r="957">
      <c r="A957" s="1" t="s">
        <v>622</v>
      </c>
      <c r="B957" s="1">
        <v>4.0</v>
      </c>
      <c r="C957" s="1">
        <v>0.0</v>
      </c>
      <c r="D957" s="1">
        <v>0.0</v>
      </c>
      <c r="E957" s="1">
        <v>0.0</v>
      </c>
      <c r="F957" s="1">
        <v>0.0</v>
      </c>
    </row>
    <row r="958">
      <c r="A958" s="1" t="s">
        <v>1171</v>
      </c>
      <c r="B958" s="1">
        <v>5.0</v>
      </c>
      <c r="C958" s="1">
        <v>0.0</v>
      </c>
      <c r="D958" s="1">
        <v>0.0</v>
      </c>
      <c r="E958" s="1">
        <v>0.0</v>
      </c>
      <c r="F958" s="1">
        <v>0.0</v>
      </c>
    </row>
    <row r="959">
      <c r="A959" s="1" t="s">
        <v>1132</v>
      </c>
      <c r="B959" s="1">
        <v>93.0</v>
      </c>
      <c r="C959" s="1">
        <v>0.0</v>
      </c>
      <c r="D959" s="1">
        <v>0.0</v>
      </c>
      <c r="E959" s="1">
        <v>0.0</v>
      </c>
      <c r="F959" s="1">
        <v>0.0</v>
      </c>
    </row>
    <row r="960">
      <c r="A960" s="1" t="s">
        <v>230</v>
      </c>
      <c r="B960" s="1">
        <v>7.0</v>
      </c>
      <c r="C960" s="1">
        <v>0.0</v>
      </c>
      <c r="D960" s="1">
        <v>0.0</v>
      </c>
      <c r="E960" s="1">
        <v>0.0</v>
      </c>
      <c r="F960" s="1">
        <v>0.0</v>
      </c>
    </row>
    <row r="961">
      <c r="A961" s="1" t="s">
        <v>914</v>
      </c>
      <c r="B961" s="1">
        <v>5.0</v>
      </c>
      <c r="C961" s="1">
        <v>0.0</v>
      </c>
      <c r="D961" s="1">
        <v>0.0</v>
      </c>
      <c r="E961" s="1">
        <v>0.0</v>
      </c>
      <c r="F961" s="1">
        <v>0.0</v>
      </c>
    </row>
    <row r="962">
      <c r="A962" s="1" t="s">
        <v>1565</v>
      </c>
      <c r="B962" s="1">
        <v>331.0</v>
      </c>
      <c r="C962" s="1">
        <v>0.0</v>
      </c>
      <c r="D962" s="1">
        <v>0.0</v>
      </c>
      <c r="E962" s="1">
        <v>0.0</v>
      </c>
      <c r="F962" s="1">
        <v>0.0</v>
      </c>
    </row>
    <row r="963">
      <c r="A963" s="1" t="s">
        <v>936</v>
      </c>
      <c r="B963" s="1">
        <v>87.0</v>
      </c>
      <c r="C963" s="1">
        <v>0.0</v>
      </c>
      <c r="D963" s="1">
        <v>0.0</v>
      </c>
      <c r="E963" s="1">
        <v>0.0</v>
      </c>
      <c r="F963" s="1">
        <v>0.0</v>
      </c>
    </row>
    <row r="964">
      <c r="A964" s="1" t="s">
        <v>761</v>
      </c>
      <c r="B964" s="1">
        <v>31.0</v>
      </c>
      <c r="C964" s="1">
        <v>0.0</v>
      </c>
      <c r="D964" s="1">
        <v>0.0</v>
      </c>
      <c r="E964" s="1">
        <v>0.0</v>
      </c>
      <c r="F964" s="1">
        <v>0.0</v>
      </c>
    </row>
    <row r="965">
      <c r="A965" s="1" t="s">
        <v>371</v>
      </c>
      <c r="B965" s="1">
        <v>9.0</v>
      </c>
      <c r="C965" s="1">
        <v>0.0</v>
      </c>
      <c r="D965" s="1">
        <v>0.0</v>
      </c>
      <c r="E965" s="1">
        <v>0.0</v>
      </c>
      <c r="F965" s="1">
        <v>0.0</v>
      </c>
    </row>
    <row r="966">
      <c r="A966" s="1" t="s">
        <v>2058</v>
      </c>
      <c r="B966" s="1">
        <v>32.0</v>
      </c>
      <c r="C966" s="1">
        <v>0.0</v>
      </c>
      <c r="D966" s="1">
        <v>0.0</v>
      </c>
      <c r="E966" s="1">
        <v>0.0</v>
      </c>
      <c r="F966" s="1">
        <v>0.0</v>
      </c>
    </row>
    <row r="967">
      <c r="A967" s="1" t="s">
        <v>553</v>
      </c>
      <c r="B967" s="1">
        <v>27.0</v>
      </c>
      <c r="C967" s="1">
        <v>0.0</v>
      </c>
      <c r="D967" s="1">
        <v>0.0</v>
      </c>
      <c r="E967" s="1">
        <v>0.0</v>
      </c>
      <c r="F967" s="1">
        <v>0.0</v>
      </c>
    </row>
    <row r="968">
      <c r="A968" s="1" t="s">
        <v>534</v>
      </c>
      <c r="B968" s="1">
        <v>13.0</v>
      </c>
      <c r="C968" s="1">
        <v>0.0</v>
      </c>
      <c r="D968" s="1">
        <v>0.0</v>
      </c>
      <c r="E968" s="1">
        <v>0.0</v>
      </c>
      <c r="F968" s="1">
        <v>0.0</v>
      </c>
    </row>
    <row r="969">
      <c r="A969" s="1" t="s">
        <v>1812</v>
      </c>
      <c r="B969" s="1">
        <v>27.0</v>
      </c>
      <c r="C969" s="1">
        <v>0.0</v>
      </c>
      <c r="D969" s="1">
        <v>0.0</v>
      </c>
      <c r="E969" s="1">
        <v>0.0</v>
      </c>
      <c r="F969" s="1">
        <v>0.0</v>
      </c>
    </row>
    <row r="970">
      <c r="A970" s="1" t="s">
        <v>550</v>
      </c>
      <c r="B970" s="1">
        <v>33.0</v>
      </c>
      <c r="C970" s="1">
        <v>0.0</v>
      </c>
      <c r="D970" s="1">
        <v>0.0</v>
      </c>
      <c r="E970" s="1">
        <v>0.0</v>
      </c>
      <c r="F970" s="1">
        <v>0.0</v>
      </c>
    </row>
    <row r="971">
      <c r="A971" s="1" t="s">
        <v>530</v>
      </c>
      <c r="B971" s="1">
        <v>4.0</v>
      </c>
      <c r="C971" s="1">
        <v>0.0</v>
      </c>
      <c r="D971" s="1">
        <v>0.0</v>
      </c>
      <c r="E971" s="1">
        <v>0.0</v>
      </c>
      <c r="F971" s="1">
        <v>0.0</v>
      </c>
    </row>
    <row r="972">
      <c r="A972" s="1" t="s">
        <v>1575</v>
      </c>
      <c r="B972" s="1">
        <v>21.0</v>
      </c>
      <c r="C972" s="1">
        <v>0.0</v>
      </c>
      <c r="D972" s="1">
        <v>0.0</v>
      </c>
      <c r="E972" s="1">
        <v>0.0</v>
      </c>
      <c r="F972" s="1">
        <v>0.0</v>
      </c>
    </row>
    <row r="973">
      <c r="A973" s="1" t="s">
        <v>547</v>
      </c>
      <c r="B973" s="1">
        <v>55.0</v>
      </c>
      <c r="C973" s="1">
        <v>0.0</v>
      </c>
      <c r="D973" s="1">
        <v>0.0</v>
      </c>
      <c r="E973" s="1">
        <v>0.0</v>
      </c>
      <c r="F973" s="1">
        <v>0.0</v>
      </c>
    </row>
    <row r="974">
      <c r="A974" s="1" t="s">
        <v>436</v>
      </c>
      <c r="B974" s="1">
        <v>24.0</v>
      </c>
      <c r="C974" s="1">
        <v>0.0</v>
      </c>
      <c r="D974" s="1">
        <v>0.0</v>
      </c>
      <c r="E974" s="1">
        <v>0.0</v>
      </c>
      <c r="F974" s="1">
        <v>0.0</v>
      </c>
    </row>
    <row r="975">
      <c r="A975" s="1" t="s">
        <v>676</v>
      </c>
      <c r="B975" s="1">
        <v>10.0</v>
      </c>
      <c r="C975" s="1">
        <v>0.0</v>
      </c>
      <c r="D975" s="1">
        <v>0.0</v>
      </c>
      <c r="E975" s="1">
        <v>0.0</v>
      </c>
      <c r="F975" s="1">
        <v>0.0</v>
      </c>
    </row>
    <row r="976">
      <c r="A976" s="1" t="s">
        <v>1141</v>
      </c>
      <c r="B976" s="1">
        <v>14.0</v>
      </c>
      <c r="C976" s="1">
        <v>0.0</v>
      </c>
      <c r="D976" s="1">
        <v>0.0</v>
      </c>
      <c r="E976" s="1">
        <v>0.0</v>
      </c>
      <c r="F976" s="1">
        <v>0.0</v>
      </c>
    </row>
    <row r="977">
      <c r="A977" s="1" t="s">
        <v>1167</v>
      </c>
      <c r="B977" s="1">
        <v>4.0</v>
      </c>
      <c r="C977" s="1">
        <v>0.0</v>
      </c>
      <c r="D977" s="1">
        <v>0.0</v>
      </c>
      <c r="E977" s="1">
        <v>0.0</v>
      </c>
      <c r="F977" s="1">
        <v>0.0</v>
      </c>
    </row>
    <row r="978">
      <c r="A978" s="1" t="s">
        <v>1596</v>
      </c>
      <c r="B978" s="1">
        <v>18.0</v>
      </c>
      <c r="C978" s="1">
        <v>0.0</v>
      </c>
      <c r="D978" s="1">
        <v>0.0</v>
      </c>
      <c r="E978" s="1">
        <v>0.0</v>
      </c>
      <c r="F978" s="1">
        <v>0.0</v>
      </c>
    </row>
    <row r="979">
      <c r="A979" s="1" t="s">
        <v>1035</v>
      </c>
      <c r="B979" s="1">
        <v>10.0</v>
      </c>
      <c r="C979" s="1">
        <v>0.0</v>
      </c>
      <c r="D979" s="1">
        <v>0.0</v>
      </c>
      <c r="E979" s="1">
        <v>0.0</v>
      </c>
      <c r="F979" s="1">
        <v>0.0</v>
      </c>
    </row>
    <row r="980">
      <c r="A980" s="1" t="s">
        <v>1616</v>
      </c>
      <c r="B980" s="1">
        <v>10.0</v>
      </c>
      <c r="C980" s="1">
        <v>0.0</v>
      </c>
      <c r="D980" s="1">
        <v>0.0</v>
      </c>
      <c r="E980" s="1">
        <v>0.0</v>
      </c>
      <c r="F980" s="1">
        <v>0.0</v>
      </c>
    </row>
    <row r="981">
      <c r="A981" s="1" t="s">
        <v>422</v>
      </c>
      <c r="B981" s="1">
        <v>81.0</v>
      </c>
      <c r="C981" s="1">
        <v>0.0</v>
      </c>
      <c r="D981" s="1">
        <v>0.0</v>
      </c>
      <c r="E981" s="1">
        <v>0.0</v>
      </c>
      <c r="F981" s="1">
        <v>0.0</v>
      </c>
    </row>
    <row r="982">
      <c r="A982" s="1" t="s">
        <v>216</v>
      </c>
      <c r="B982" s="1">
        <v>4.0</v>
      </c>
      <c r="C982" s="1">
        <v>0.0</v>
      </c>
      <c r="D982" s="1">
        <v>0.0</v>
      </c>
      <c r="E982" s="1">
        <v>0.0</v>
      </c>
      <c r="F982" s="1">
        <v>0.0</v>
      </c>
    </row>
    <row r="983">
      <c r="A983" s="1" t="s">
        <v>755</v>
      </c>
      <c r="B983" s="1">
        <v>26.0</v>
      </c>
      <c r="C983" s="1">
        <v>0.0</v>
      </c>
      <c r="D983" s="1">
        <v>0.0</v>
      </c>
      <c r="E983" s="1">
        <v>0.0</v>
      </c>
      <c r="F983" s="1">
        <v>0.0</v>
      </c>
    </row>
    <row r="984">
      <c r="A984" s="1" t="s">
        <v>1902</v>
      </c>
      <c r="B984" s="1">
        <v>4.0</v>
      </c>
      <c r="C984" s="1">
        <v>0.0</v>
      </c>
      <c r="D984" s="1">
        <v>0.0</v>
      </c>
      <c r="E984" s="1">
        <v>0.0</v>
      </c>
      <c r="F984" s="1">
        <v>0.0</v>
      </c>
    </row>
    <row r="985">
      <c r="A985" s="1" t="s">
        <v>1950</v>
      </c>
      <c r="B985" s="1">
        <v>15.0</v>
      </c>
      <c r="C985" s="1">
        <v>0.0</v>
      </c>
      <c r="D985" s="1">
        <v>0.0</v>
      </c>
      <c r="E985" s="1">
        <v>0.0</v>
      </c>
      <c r="F985" s="1">
        <v>0.0</v>
      </c>
    </row>
    <row r="986">
      <c r="A986" s="1" t="s">
        <v>1184</v>
      </c>
      <c r="B986" s="1">
        <v>109.0</v>
      </c>
      <c r="C986" s="1">
        <v>0.0</v>
      </c>
      <c r="D986" s="1">
        <v>0.0</v>
      </c>
      <c r="E986" s="1">
        <v>0.0</v>
      </c>
      <c r="F986" s="1">
        <v>0.0</v>
      </c>
    </row>
    <row r="987">
      <c r="A987" s="1" t="s">
        <v>294</v>
      </c>
      <c r="B987" s="1">
        <v>85.0</v>
      </c>
      <c r="C987" s="1">
        <v>0.0</v>
      </c>
      <c r="D987" s="1">
        <v>0.0</v>
      </c>
      <c r="E987" s="1">
        <v>0.0</v>
      </c>
      <c r="F987" s="1">
        <v>0.0</v>
      </c>
    </row>
    <row r="988">
      <c r="A988" s="1" t="s">
        <v>1144</v>
      </c>
      <c r="B988" s="1">
        <v>38.0</v>
      </c>
      <c r="C988" s="1">
        <v>0.0</v>
      </c>
      <c r="D988" s="1">
        <v>0.0</v>
      </c>
      <c r="E988" s="1">
        <v>0.0</v>
      </c>
      <c r="F988" s="1">
        <v>0.0</v>
      </c>
    </row>
    <row r="989">
      <c r="A989" s="1" t="s">
        <v>1502</v>
      </c>
      <c r="B989" s="1">
        <v>22.0</v>
      </c>
      <c r="C989" s="1">
        <v>0.0</v>
      </c>
      <c r="D989" s="1">
        <v>0.0</v>
      </c>
      <c r="E989" s="1">
        <v>0.0</v>
      </c>
      <c r="F989" s="1">
        <v>0.0</v>
      </c>
    </row>
    <row r="990">
      <c r="A990" s="1" t="s">
        <v>1610</v>
      </c>
      <c r="B990" s="1">
        <v>39.0</v>
      </c>
      <c r="C990" s="1">
        <v>0.0</v>
      </c>
      <c r="D990" s="1">
        <v>0.0</v>
      </c>
      <c r="E990" s="1">
        <v>0.0</v>
      </c>
      <c r="F990" s="1">
        <v>0.0</v>
      </c>
    </row>
    <row r="991">
      <c r="A991" s="1" t="s">
        <v>1951</v>
      </c>
      <c r="B991" s="1">
        <v>10.0</v>
      </c>
      <c r="C991" s="1">
        <v>0.0</v>
      </c>
      <c r="D991" s="1">
        <v>0.0</v>
      </c>
      <c r="E991" s="1">
        <v>0.0</v>
      </c>
      <c r="F991" s="1">
        <v>0.0</v>
      </c>
    </row>
    <row r="992">
      <c r="A992" s="1" t="s">
        <v>2031</v>
      </c>
      <c r="B992" s="1">
        <v>74.0</v>
      </c>
      <c r="C992" s="1">
        <v>0.0</v>
      </c>
      <c r="D992" s="1">
        <v>0.0</v>
      </c>
      <c r="E992" s="1">
        <v>0.0</v>
      </c>
      <c r="F992" s="1">
        <v>0.0</v>
      </c>
    </row>
    <row r="993">
      <c r="A993" s="1" t="s">
        <v>386</v>
      </c>
      <c r="B993" s="1">
        <v>211.0</v>
      </c>
      <c r="C993" s="1">
        <v>0.0</v>
      </c>
      <c r="D993" s="1">
        <v>0.0</v>
      </c>
      <c r="E993" s="1">
        <v>0.0</v>
      </c>
      <c r="F993" s="1">
        <v>0.0</v>
      </c>
    </row>
    <row r="994">
      <c r="A994" s="1" t="s">
        <v>2069</v>
      </c>
      <c r="B994" s="1">
        <v>427.0</v>
      </c>
      <c r="C994" s="1">
        <v>11.0</v>
      </c>
      <c r="D994" s="1">
        <v>0.0</v>
      </c>
      <c r="E994" s="1">
        <v>0.0</v>
      </c>
      <c r="F994" s="1">
        <v>0.0</v>
      </c>
    </row>
    <row r="995">
      <c r="A995" s="1" t="s">
        <v>1179</v>
      </c>
      <c r="B995" s="1">
        <v>34.0</v>
      </c>
      <c r="C995" s="1">
        <v>0.0</v>
      </c>
      <c r="D995" s="1">
        <v>0.0</v>
      </c>
      <c r="E995" s="1">
        <v>0.0</v>
      </c>
      <c r="F995" s="1">
        <v>0.0</v>
      </c>
    </row>
    <row r="996">
      <c r="A996" s="1" t="s">
        <v>374</v>
      </c>
      <c r="B996" s="1">
        <v>22.0</v>
      </c>
      <c r="C996" s="1">
        <v>0.0</v>
      </c>
      <c r="D996" s="1">
        <v>0.0</v>
      </c>
      <c r="E996" s="1">
        <v>0.0</v>
      </c>
      <c r="F996" s="1">
        <v>0.0</v>
      </c>
    </row>
    <row r="997">
      <c r="A997" s="1" t="s">
        <v>336</v>
      </c>
      <c r="B997" s="1">
        <v>8.0</v>
      </c>
      <c r="C997" s="1">
        <v>0.0</v>
      </c>
      <c r="D997" s="1">
        <v>0.0</v>
      </c>
      <c r="E997" s="1">
        <v>0.0</v>
      </c>
      <c r="F997" s="1">
        <v>0.0</v>
      </c>
    </row>
    <row r="998">
      <c r="A998" s="1" t="s">
        <v>1082</v>
      </c>
      <c r="B998" s="1">
        <v>35.0</v>
      </c>
      <c r="C998" s="1">
        <v>0.0</v>
      </c>
      <c r="D998" s="1">
        <v>0.0</v>
      </c>
      <c r="E998" s="1">
        <v>0.0</v>
      </c>
      <c r="F998" s="1">
        <v>0.0</v>
      </c>
    </row>
    <row r="999">
      <c r="A999" s="1" t="s">
        <v>919</v>
      </c>
      <c r="B999" s="1">
        <v>37.0</v>
      </c>
      <c r="C999" s="1">
        <v>0.0</v>
      </c>
      <c r="D999" s="1">
        <v>0.0</v>
      </c>
      <c r="E999" s="1">
        <v>0.0</v>
      </c>
      <c r="F999" s="1">
        <v>0.0</v>
      </c>
    </row>
    <row r="1000">
      <c r="A1000" s="1" t="s">
        <v>717</v>
      </c>
      <c r="B1000" s="1">
        <v>94.0</v>
      </c>
      <c r="C1000" s="1">
        <v>0.0</v>
      </c>
      <c r="D1000" s="1">
        <v>0.0</v>
      </c>
      <c r="E1000" s="1">
        <v>0.0</v>
      </c>
      <c r="F1000" s="1">
        <v>0.0</v>
      </c>
    </row>
    <row r="1001">
      <c r="A1001" s="1" t="s">
        <v>1679</v>
      </c>
      <c r="B1001" s="1">
        <v>22.0</v>
      </c>
      <c r="C1001" s="1">
        <v>0.0</v>
      </c>
      <c r="D1001" s="1">
        <v>0.0</v>
      </c>
      <c r="E1001" s="1">
        <v>0.0</v>
      </c>
      <c r="F1001" s="1">
        <v>0.0</v>
      </c>
    </row>
    <row r="1002">
      <c r="A1002" s="1" t="s">
        <v>308</v>
      </c>
      <c r="B1002" s="1">
        <v>118.0</v>
      </c>
      <c r="C1002" s="1">
        <v>0.0</v>
      </c>
      <c r="D1002" s="1">
        <v>0.0</v>
      </c>
      <c r="E1002" s="1">
        <v>0.0</v>
      </c>
      <c r="F1002" s="1">
        <v>0.0</v>
      </c>
    </row>
    <row r="1003">
      <c r="A1003" s="1" t="s">
        <v>358</v>
      </c>
      <c r="B1003" s="1">
        <v>12.0</v>
      </c>
      <c r="C1003" s="1">
        <v>0.0</v>
      </c>
      <c r="D1003" s="1">
        <v>0.0</v>
      </c>
      <c r="E1003" s="1">
        <v>0.0</v>
      </c>
      <c r="F1003" s="1">
        <v>0.0</v>
      </c>
    </row>
    <row r="1004">
      <c r="A1004" s="1" t="s">
        <v>1566</v>
      </c>
      <c r="B1004" s="1">
        <v>192.0</v>
      </c>
      <c r="C1004" s="1">
        <v>1.0</v>
      </c>
      <c r="D1004" s="1">
        <v>0.0</v>
      </c>
      <c r="E1004" s="1">
        <v>0.0</v>
      </c>
      <c r="F1004" s="1">
        <v>0.0</v>
      </c>
    </row>
    <row r="1005">
      <c r="A1005" s="1" t="s">
        <v>481</v>
      </c>
      <c r="B1005" s="1">
        <v>24.0</v>
      </c>
      <c r="C1005" s="1">
        <v>0.0</v>
      </c>
      <c r="D1005" s="1">
        <v>0.0</v>
      </c>
      <c r="E1005" s="1">
        <v>0.0</v>
      </c>
      <c r="F1005" s="1">
        <v>0.0</v>
      </c>
    </row>
    <row r="1006">
      <c r="A1006" s="1" t="s">
        <v>1012</v>
      </c>
      <c r="B1006" s="1">
        <v>45.0</v>
      </c>
      <c r="C1006" s="1">
        <v>0.0</v>
      </c>
      <c r="D1006" s="1">
        <v>0.0</v>
      </c>
      <c r="E1006" s="1">
        <v>0.0</v>
      </c>
      <c r="F1006" s="1">
        <v>0.0</v>
      </c>
    </row>
    <row r="1007">
      <c r="A1007" s="1" t="s">
        <v>1232</v>
      </c>
      <c r="B1007" s="1">
        <v>11.0</v>
      </c>
      <c r="C1007" s="1">
        <v>0.0</v>
      </c>
      <c r="D1007" s="1">
        <v>0.0</v>
      </c>
      <c r="E1007" s="1">
        <v>0.0</v>
      </c>
      <c r="F1007" s="1">
        <v>0.0</v>
      </c>
    </row>
    <row r="1008">
      <c r="A1008" s="1" t="s">
        <v>1061</v>
      </c>
      <c r="B1008" s="1">
        <v>53.0</v>
      </c>
      <c r="C1008" s="1">
        <v>0.0</v>
      </c>
      <c r="D1008" s="1">
        <v>0.0</v>
      </c>
      <c r="E1008" s="1">
        <v>0.0</v>
      </c>
      <c r="F1008" s="1">
        <v>0.0</v>
      </c>
    </row>
    <row r="1009">
      <c r="A1009" s="1" t="s">
        <v>1284</v>
      </c>
      <c r="B1009" s="1">
        <v>11.0</v>
      </c>
      <c r="C1009" s="1">
        <v>0.0</v>
      </c>
      <c r="D1009" s="1">
        <v>0.0</v>
      </c>
      <c r="E1009" s="1">
        <v>0.0</v>
      </c>
      <c r="F1009" s="1">
        <v>0.0</v>
      </c>
    </row>
    <row r="1010">
      <c r="A1010" s="1" t="s">
        <v>642</v>
      </c>
      <c r="B1010" s="1">
        <v>108.0</v>
      </c>
      <c r="C1010" s="1">
        <v>0.0</v>
      </c>
      <c r="D1010" s="1">
        <v>0.0</v>
      </c>
      <c r="E1010" s="1">
        <v>0.0</v>
      </c>
      <c r="F1010" s="1">
        <v>0.0</v>
      </c>
    </row>
    <row r="1011">
      <c r="A1011" s="1" t="s">
        <v>571</v>
      </c>
      <c r="B1011" s="1">
        <v>55.0</v>
      </c>
      <c r="C1011" s="1">
        <v>0.0</v>
      </c>
      <c r="D1011" s="1">
        <v>0.0</v>
      </c>
      <c r="E1011" s="1">
        <v>0.0</v>
      </c>
      <c r="F1011" s="1">
        <v>0.0</v>
      </c>
    </row>
    <row r="1012">
      <c r="A1012" s="1" t="s">
        <v>1202</v>
      </c>
      <c r="B1012" s="1">
        <v>24.0</v>
      </c>
      <c r="C1012" s="1">
        <v>0.0</v>
      </c>
      <c r="D1012" s="1">
        <v>0.0</v>
      </c>
      <c r="E1012" s="1">
        <v>0.0</v>
      </c>
      <c r="F1012" s="1">
        <v>0.0</v>
      </c>
    </row>
    <row r="1013">
      <c r="A1013" s="1" t="s">
        <v>721</v>
      </c>
      <c r="B1013" s="1">
        <v>113.0</v>
      </c>
      <c r="C1013" s="1">
        <v>0.0</v>
      </c>
      <c r="D1013" s="1">
        <v>0.0</v>
      </c>
      <c r="E1013" s="1">
        <v>0.0</v>
      </c>
      <c r="F1013" s="1">
        <v>0.0</v>
      </c>
    </row>
    <row r="1014">
      <c r="A1014" s="1" t="s">
        <v>886</v>
      </c>
      <c r="B1014" s="1">
        <v>108.0</v>
      </c>
      <c r="C1014" s="1">
        <v>0.0</v>
      </c>
      <c r="D1014" s="1">
        <v>0.0</v>
      </c>
      <c r="E1014" s="1">
        <v>0.0</v>
      </c>
      <c r="F1014" s="1">
        <v>0.0</v>
      </c>
    </row>
    <row r="1015">
      <c r="A1015" s="1" t="s">
        <v>515</v>
      </c>
      <c r="B1015" s="1">
        <v>16.0</v>
      </c>
      <c r="C1015" s="1">
        <v>0.0</v>
      </c>
      <c r="D1015" s="1">
        <v>0.0</v>
      </c>
      <c r="E1015" s="1">
        <v>0.0</v>
      </c>
      <c r="F1015" s="1">
        <v>0.0</v>
      </c>
    </row>
    <row r="1016">
      <c r="A1016" s="1" t="s">
        <v>1954</v>
      </c>
      <c r="B1016" s="1">
        <v>150.0</v>
      </c>
      <c r="C1016" s="1">
        <v>0.0</v>
      </c>
      <c r="D1016" s="1">
        <v>0.0</v>
      </c>
      <c r="E1016" s="1">
        <v>0.0</v>
      </c>
      <c r="F1016" s="1">
        <v>0.0</v>
      </c>
    </row>
    <row r="1017">
      <c r="A1017" s="1" t="s">
        <v>493</v>
      </c>
      <c r="B1017" s="1">
        <v>61.0</v>
      </c>
      <c r="C1017" s="1">
        <v>0.0</v>
      </c>
      <c r="D1017" s="1">
        <v>0.0</v>
      </c>
      <c r="E1017" s="1">
        <v>0.0</v>
      </c>
      <c r="F1017" s="1">
        <v>0.0</v>
      </c>
    </row>
    <row r="1018">
      <c r="A1018" s="1" t="s">
        <v>1996</v>
      </c>
      <c r="B1018" s="1">
        <v>25.0</v>
      </c>
      <c r="C1018" s="1">
        <v>0.0</v>
      </c>
      <c r="D1018" s="1">
        <v>0.0</v>
      </c>
      <c r="E1018" s="1">
        <v>0.0</v>
      </c>
      <c r="F1018" s="1">
        <v>0.0</v>
      </c>
    </row>
    <row r="1019">
      <c r="A1019" s="1" t="s">
        <v>301</v>
      </c>
      <c r="B1019" s="1">
        <v>38.0</v>
      </c>
      <c r="C1019" s="1">
        <v>0.0</v>
      </c>
      <c r="D1019" s="1">
        <v>0.0</v>
      </c>
      <c r="E1019" s="1">
        <v>0.0</v>
      </c>
      <c r="F1019" s="1">
        <v>0.0</v>
      </c>
    </row>
    <row r="1020">
      <c r="A1020" s="1" t="s">
        <v>1201</v>
      </c>
      <c r="B1020" s="1">
        <v>21.0</v>
      </c>
      <c r="C1020" s="1">
        <v>0.0</v>
      </c>
      <c r="D1020" s="1">
        <v>0.0</v>
      </c>
      <c r="E1020" s="1">
        <v>0.0</v>
      </c>
      <c r="F1020" s="1">
        <v>0.0</v>
      </c>
    </row>
    <row r="1021">
      <c r="A1021" s="1" t="s">
        <v>937</v>
      </c>
      <c r="B1021" s="1">
        <v>35.0</v>
      </c>
      <c r="C1021" s="1">
        <v>0.0</v>
      </c>
      <c r="D1021" s="1">
        <v>0.0</v>
      </c>
      <c r="E1021" s="1">
        <v>0.0</v>
      </c>
      <c r="F1021" s="1">
        <v>0.0</v>
      </c>
    </row>
    <row r="1022">
      <c r="A1022" s="1" t="s">
        <v>807</v>
      </c>
      <c r="B1022" s="1">
        <v>25.0</v>
      </c>
      <c r="C1022" s="1">
        <v>0.0</v>
      </c>
      <c r="D1022" s="1">
        <v>0.0</v>
      </c>
      <c r="E1022" s="1">
        <v>0.0</v>
      </c>
      <c r="F1022" s="1">
        <v>0.0</v>
      </c>
    </row>
    <row r="1023">
      <c r="A1023" s="1" t="s">
        <v>619</v>
      </c>
      <c r="B1023" s="1">
        <v>54.0</v>
      </c>
      <c r="C1023" s="1">
        <v>0.0</v>
      </c>
      <c r="D1023" s="1">
        <v>0.0</v>
      </c>
      <c r="E1023" s="1">
        <v>0.0</v>
      </c>
      <c r="F1023" s="1">
        <v>0.0</v>
      </c>
    </row>
    <row r="1024">
      <c r="A1024" s="1" t="s">
        <v>1543</v>
      </c>
      <c r="B1024" s="1">
        <v>20.0</v>
      </c>
      <c r="C1024" s="1">
        <v>0.0</v>
      </c>
      <c r="D1024" s="1">
        <v>0.0</v>
      </c>
      <c r="E1024" s="1">
        <v>0.0</v>
      </c>
      <c r="F1024" s="1">
        <v>0.0</v>
      </c>
    </row>
    <row r="1025">
      <c r="A1025" s="1" t="s">
        <v>1877</v>
      </c>
      <c r="B1025" s="1">
        <v>19.0</v>
      </c>
      <c r="C1025" s="1">
        <v>0.0</v>
      </c>
      <c r="D1025" s="1">
        <v>0.0</v>
      </c>
      <c r="E1025" s="1">
        <v>0.0</v>
      </c>
      <c r="F1025" s="1">
        <v>0.0</v>
      </c>
    </row>
    <row r="1026">
      <c r="A1026" s="1" t="s">
        <v>1738</v>
      </c>
      <c r="B1026" s="1">
        <v>131.0</v>
      </c>
      <c r="C1026" s="1">
        <v>0.0</v>
      </c>
      <c r="D1026" s="1">
        <v>0.0</v>
      </c>
      <c r="E1026" s="1">
        <v>0.0</v>
      </c>
      <c r="F1026" s="1">
        <v>0.0</v>
      </c>
    </row>
    <row r="1027">
      <c r="A1027" s="1" t="s">
        <v>1710</v>
      </c>
      <c r="B1027" s="1">
        <v>14.0</v>
      </c>
      <c r="C1027" s="1">
        <v>0.0</v>
      </c>
      <c r="D1027" s="1">
        <v>0.0</v>
      </c>
      <c r="E1027" s="1">
        <v>0.0</v>
      </c>
      <c r="F1027" s="1">
        <v>0.0</v>
      </c>
    </row>
    <row r="1028">
      <c r="A1028" s="1" t="s">
        <v>1927</v>
      </c>
      <c r="B1028" s="1">
        <v>189.0</v>
      </c>
      <c r="C1028" s="1">
        <v>1.0</v>
      </c>
      <c r="D1028" s="1">
        <v>0.0</v>
      </c>
      <c r="E1028" s="1">
        <v>0.0</v>
      </c>
      <c r="F1028" s="1">
        <v>0.0</v>
      </c>
    </row>
    <row r="1029">
      <c r="A1029" s="1" t="s">
        <v>1754</v>
      </c>
      <c r="B1029" s="1">
        <v>35.0</v>
      </c>
      <c r="C1029" s="1">
        <v>0.0</v>
      </c>
      <c r="D1029" s="1">
        <v>0.0</v>
      </c>
      <c r="E1029" s="1">
        <v>0.0</v>
      </c>
      <c r="F1029" s="1">
        <v>0.0</v>
      </c>
    </row>
    <row r="1030">
      <c r="A1030" s="1" t="s">
        <v>909</v>
      </c>
      <c r="B1030" s="1">
        <v>20.0</v>
      </c>
      <c r="C1030" s="1">
        <v>0.0</v>
      </c>
      <c r="D1030" s="1">
        <v>0.0</v>
      </c>
      <c r="E1030" s="1">
        <v>0.0</v>
      </c>
      <c r="F1030" s="1">
        <v>0.0</v>
      </c>
    </row>
    <row r="1031">
      <c r="A1031" s="1" t="s">
        <v>1762</v>
      </c>
      <c r="B1031" s="1">
        <v>143.0</v>
      </c>
      <c r="C1031" s="1">
        <v>1.0</v>
      </c>
      <c r="D1031" s="1">
        <v>0.0</v>
      </c>
      <c r="E1031" s="1">
        <v>0.0</v>
      </c>
      <c r="F1031" s="1">
        <v>0.0</v>
      </c>
    </row>
    <row r="1032">
      <c r="A1032" s="1" t="s">
        <v>1780</v>
      </c>
      <c r="B1032" s="1">
        <v>43.0</v>
      </c>
      <c r="C1032" s="1">
        <v>0.0</v>
      </c>
      <c r="D1032" s="1">
        <v>0.0</v>
      </c>
      <c r="E1032" s="1">
        <v>0.0</v>
      </c>
      <c r="F1032" s="1">
        <v>0.0</v>
      </c>
    </row>
    <row r="1033">
      <c r="A1033" s="1" t="s">
        <v>367</v>
      </c>
      <c r="B1033" s="1">
        <v>35.0</v>
      </c>
      <c r="C1033" s="1">
        <v>0.0</v>
      </c>
      <c r="D1033" s="1">
        <v>0.0</v>
      </c>
      <c r="E1033" s="1">
        <v>0.0</v>
      </c>
      <c r="F1033" s="1">
        <v>0.0</v>
      </c>
    </row>
    <row r="1034">
      <c r="A1034" s="1" t="s">
        <v>905</v>
      </c>
      <c r="B1034" s="1">
        <v>34.0</v>
      </c>
      <c r="C1034" s="1">
        <v>0.0</v>
      </c>
      <c r="D1034" s="1">
        <v>0.0</v>
      </c>
      <c r="E1034" s="1">
        <v>0.0</v>
      </c>
      <c r="F1034" s="1">
        <v>0.0</v>
      </c>
    </row>
    <row r="1035">
      <c r="A1035" s="1" t="s">
        <v>1938</v>
      </c>
      <c r="B1035" s="1">
        <v>7.0</v>
      </c>
      <c r="C1035" s="1">
        <v>0.0</v>
      </c>
      <c r="D1035" s="1">
        <v>0.0</v>
      </c>
      <c r="E1035" s="1">
        <v>0.0</v>
      </c>
      <c r="F1035" s="1">
        <v>0.0</v>
      </c>
    </row>
    <row r="1036">
      <c r="A1036" s="1" t="s">
        <v>273</v>
      </c>
      <c r="B1036" s="1">
        <v>20.0</v>
      </c>
      <c r="C1036" s="1">
        <v>0.0</v>
      </c>
      <c r="D1036" s="1">
        <v>0.0</v>
      </c>
      <c r="E1036" s="1">
        <v>0.0</v>
      </c>
      <c r="F1036" s="1">
        <v>0.0</v>
      </c>
    </row>
    <row r="1037">
      <c r="A1037" s="1" t="s">
        <v>1032</v>
      </c>
      <c r="B1037" s="1">
        <v>94.0</v>
      </c>
      <c r="C1037" s="1">
        <v>0.0</v>
      </c>
      <c r="D1037" s="1">
        <v>0.0</v>
      </c>
      <c r="E1037" s="1">
        <v>0.0</v>
      </c>
      <c r="F1037" s="1">
        <v>0.0</v>
      </c>
    </row>
    <row r="1038">
      <c r="A1038" s="1" t="s">
        <v>380</v>
      </c>
      <c r="B1038" s="1">
        <v>16.0</v>
      </c>
      <c r="C1038" s="1">
        <v>0.0</v>
      </c>
      <c r="D1038" s="1">
        <v>0.0</v>
      </c>
      <c r="E1038" s="1">
        <v>0.0</v>
      </c>
      <c r="F1038" s="1">
        <v>0.0</v>
      </c>
    </row>
    <row r="1039">
      <c r="A1039" s="1" t="s">
        <v>1770</v>
      </c>
      <c r="B1039" s="1">
        <v>40.0</v>
      </c>
      <c r="C1039" s="1">
        <v>0.0</v>
      </c>
      <c r="D1039" s="1">
        <v>0.0</v>
      </c>
      <c r="E1039" s="1">
        <v>0.0</v>
      </c>
      <c r="F1039" s="1">
        <v>0.0</v>
      </c>
    </row>
    <row r="1040">
      <c r="A1040" s="1" t="s">
        <v>231</v>
      </c>
      <c r="B1040" s="1">
        <v>19.0</v>
      </c>
      <c r="C1040" s="1">
        <v>0.0</v>
      </c>
      <c r="D1040" s="1">
        <v>0.0</v>
      </c>
      <c r="E1040" s="1">
        <v>0.0</v>
      </c>
      <c r="F1040" s="1">
        <v>0.0</v>
      </c>
    </row>
    <row r="1041">
      <c r="A1041" s="1" t="s">
        <v>1328</v>
      </c>
      <c r="B1041" s="1">
        <v>81.0</v>
      </c>
      <c r="C1041" s="1">
        <v>0.0</v>
      </c>
      <c r="D1041" s="1">
        <v>0.0</v>
      </c>
      <c r="E1041" s="1">
        <v>0.0</v>
      </c>
      <c r="F1041" s="1">
        <v>0.0</v>
      </c>
    </row>
    <row r="1042">
      <c r="A1042" s="1" t="s">
        <v>209</v>
      </c>
      <c r="B1042" s="1">
        <v>10.0</v>
      </c>
      <c r="C1042" s="1">
        <v>0.0</v>
      </c>
      <c r="D1042" s="1">
        <v>0.0</v>
      </c>
      <c r="E1042" s="1">
        <v>0.0</v>
      </c>
      <c r="F1042" s="1">
        <v>0.0</v>
      </c>
    </row>
    <row r="1043">
      <c r="A1043" s="1" t="s">
        <v>587</v>
      </c>
      <c r="B1043" s="1">
        <v>31.0</v>
      </c>
      <c r="C1043" s="1">
        <v>0.0</v>
      </c>
      <c r="D1043" s="1">
        <v>0.0</v>
      </c>
      <c r="E1043" s="1">
        <v>0.0</v>
      </c>
      <c r="F1043" s="1">
        <v>0.0</v>
      </c>
    </row>
    <row r="1044">
      <c r="A1044" s="1" t="s">
        <v>830</v>
      </c>
      <c r="B1044" s="1">
        <v>13.0</v>
      </c>
      <c r="C1044" s="1">
        <v>0.0</v>
      </c>
      <c r="D1044" s="1">
        <v>0.0</v>
      </c>
      <c r="E1044" s="1">
        <v>0.0</v>
      </c>
      <c r="F1044" s="1">
        <v>0.0</v>
      </c>
    </row>
    <row r="1045">
      <c r="A1045" s="1" t="s">
        <v>996</v>
      </c>
      <c r="B1045" s="1">
        <v>26.0</v>
      </c>
      <c r="C1045" s="1">
        <v>0.0</v>
      </c>
      <c r="D1045" s="1">
        <v>0.0</v>
      </c>
      <c r="E1045" s="1">
        <v>0.0</v>
      </c>
      <c r="F1045" s="1">
        <v>0.0</v>
      </c>
    </row>
    <row r="1046">
      <c r="A1046" s="1" t="s">
        <v>333</v>
      </c>
      <c r="B1046" s="1">
        <v>34.0</v>
      </c>
      <c r="C1046" s="1">
        <v>0.0</v>
      </c>
      <c r="D1046" s="1">
        <v>0.0</v>
      </c>
      <c r="E1046" s="1">
        <v>0.0</v>
      </c>
      <c r="F1046" s="1">
        <v>0.0</v>
      </c>
    </row>
    <row r="1047">
      <c r="A1047" s="1" t="s">
        <v>778</v>
      </c>
      <c r="B1047" s="1">
        <v>132.0</v>
      </c>
      <c r="C1047" s="1">
        <v>0.0</v>
      </c>
      <c r="D1047" s="1">
        <v>0.0</v>
      </c>
      <c r="E1047" s="1">
        <v>0.0</v>
      </c>
      <c r="F1047" s="1">
        <v>0.0</v>
      </c>
    </row>
    <row r="1048">
      <c r="A1048" s="1" t="s">
        <v>1912</v>
      </c>
      <c r="B1048" s="1">
        <v>12.0</v>
      </c>
      <c r="C1048" s="1">
        <v>0.0</v>
      </c>
      <c r="D1048" s="1">
        <v>0.0</v>
      </c>
      <c r="E1048" s="1">
        <v>0.0</v>
      </c>
      <c r="F1048" s="1">
        <v>0.0</v>
      </c>
    </row>
    <row r="1049">
      <c r="A1049" s="1" t="s">
        <v>975</v>
      </c>
      <c r="B1049" s="1">
        <v>10.0</v>
      </c>
      <c r="C1049" s="1">
        <v>0.0</v>
      </c>
      <c r="D1049" s="1">
        <v>0.0</v>
      </c>
      <c r="E1049" s="1">
        <v>0.0</v>
      </c>
      <c r="F1049" s="1">
        <v>0.0</v>
      </c>
    </row>
    <row r="1050">
      <c r="A1050" s="1" t="s">
        <v>989</v>
      </c>
      <c r="B1050" s="1">
        <v>9.0</v>
      </c>
      <c r="C1050" s="1">
        <v>0.0</v>
      </c>
      <c r="D1050" s="1">
        <v>0.0</v>
      </c>
      <c r="E1050" s="1">
        <v>0.0</v>
      </c>
      <c r="F1050" s="1">
        <v>0.0</v>
      </c>
    </row>
    <row r="1051">
      <c r="A1051" s="1" t="s">
        <v>1445</v>
      </c>
      <c r="B1051" s="1">
        <v>52.0</v>
      </c>
      <c r="C1051" s="1">
        <v>0.0</v>
      </c>
      <c r="D1051" s="1">
        <v>0.0</v>
      </c>
      <c r="E1051" s="1">
        <v>0.0</v>
      </c>
      <c r="F1051" s="1">
        <v>0.0</v>
      </c>
    </row>
    <row r="1052">
      <c r="A1052" s="1" t="s">
        <v>1395</v>
      </c>
      <c r="B1052" s="1">
        <v>162.0</v>
      </c>
      <c r="C1052" s="1">
        <v>0.0</v>
      </c>
      <c r="D1052" s="1">
        <v>0.0</v>
      </c>
      <c r="E1052" s="1">
        <v>0.0</v>
      </c>
      <c r="F1052" s="1">
        <v>0.0</v>
      </c>
    </row>
    <row r="1053">
      <c r="A1053" s="1" t="s">
        <v>949</v>
      </c>
      <c r="B1053" s="1">
        <v>28.0</v>
      </c>
      <c r="C1053" s="1">
        <v>0.0</v>
      </c>
      <c r="D1053" s="1">
        <v>0.0</v>
      </c>
      <c r="E1053" s="1">
        <v>0.0</v>
      </c>
      <c r="F1053" s="1">
        <v>0.0</v>
      </c>
    </row>
    <row r="1054">
      <c r="A1054" s="1" t="s">
        <v>1161</v>
      </c>
      <c r="B1054" s="1">
        <v>10.0</v>
      </c>
      <c r="C1054" s="1">
        <v>0.0</v>
      </c>
      <c r="D1054" s="1">
        <v>0.0</v>
      </c>
      <c r="E1054" s="1">
        <v>0.0</v>
      </c>
      <c r="F1054" s="1">
        <v>0.0</v>
      </c>
    </row>
    <row r="1055">
      <c r="A1055" s="1" t="s">
        <v>1913</v>
      </c>
      <c r="B1055" s="1">
        <v>9.0</v>
      </c>
      <c r="C1055" s="1">
        <v>0.0</v>
      </c>
      <c r="D1055" s="1">
        <v>0.0</v>
      </c>
      <c r="E1055" s="1">
        <v>0.0</v>
      </c>
      <c r="F1055" s="1">
        <v>0.0</v>
      </c>
    </row>
    <row r="1056">
      <c r="A1056" s="1" t="s">
        <v>589</v>
      </c>
      <c r="B1056" s="1">
        <v>33.0</v>
      </c>
      <c r="C1056" s="1">
        <v>0.0</v>
      </c>
      <c r="D1056" s="1">
        <v>0.0</v>
      </c>
      <c r="E1056" s="1">
        <v>0.0</v>
      </c>
      <c r="F1056" s="1">
        <v>0.0</v>
      </c>
    </row>
    <row r="1057">
      <c r="A1057" s="1" t="s">
        <v>1372</v>
      </c>
      <c r="B1057" s="1">
        <v>34.0</v>
      </c>
      <c r="C1057" s="1">
        <v>0.0</v>
      </c>
      <c r="D1057" s="1">
        <v>0.0</v>
      </c>
      <c r="E1057" s="1">
        <v>0.0</v>
      </c>
      <c r="F1057" s="1">
        <v>0.0</v>
      </c>
    </row>
    <row r="1058">
      <c r="A1058" s="1" t="s">
        <v>1573</v>
      </c>
      <c r="B1058" s="1">
        <v>27.0</v>
      </c>
      <c r="C1058" s="1">
        <v>0.0</v>
      </c>
      <c r="D1058" s="1">
        <v>0.0</v>
      </c>
      <c r="E1058" s="1">
        <v>0.0</v>
      </c>
      <c r="F1058" s="1">
        <v>0.0</v>
      </c>
    </row>
    <row r="1059">
      <c r="A1059" s="1" t="s">
        <v>1749</v>
      </c>
      <c r="B1059" s="1">
        <v>13.0</v>
      </c>
      <c r="C1059" s="1">
        <v>0.0</v>
      </c>
      <c r="D1059" s="1">
        <v>0.0</v>
      </c>
      <c r="E1059" s="1">
        <v>0.0</v>
      </c>
      <c r="F1059" s="1">
        <v>0.0</v>
      </c>
    </row>
    <row r="1060">
      <c r="A1060" s="1" t="s">
        <v>1773</v>
      </c>
      <c r="B1060" s="1">
        <v>14.0</v>
      </c>
      <c r="C1060" s="1">
        <v>0.0</v>
      </c>
      <c r="D1060" s="1">
        <v>0.0</v>
      </c>
      <c r="E1060" s="1">
        <v>0.0</v>
      </c>
      <c r="F1060" s="1">
        <v>0.0</v>
      </c>
    </row>
    <row r="1061">
      <c r="A1061" s="1" t="s">
        <v>555</v>
      </c>
      <c r="B1061" s="1">
        <v>5.0</v>
      </c>
      <c r="C1061" s="1">
        <v>0.0</v>
      </c>
      <c r="D1061" s="1">
        <v>0.0</v>
      </c>
      <c r="E1061" s="1">
        <v>0.0</v>
      </c>
      <c r="F1061" s="1">
        <v>0.0</v>
      </c>
    </row>
    <row r="1062">
      <c r="A1062" s="1" t="s">
        <v>917</v>
      </c>
      <c r="B1062" s="1">
        <v>30.0</v>
      </c>
      <c r="C1062" s="1">
        <v>0.0</v>
      </c>
      <c r="D1062" s="1">
        <v>0.0</v>
      </c>
      <c r="E1062" s="1">
        <v>0.0</v>
      </c>
      <c r="F1062" s="1">
        <v>0.0</v>
      </c>
    </row>
    <row r="1063">
      <c r="A1063" s="1" t="s">
        <v>1402</v>
      </c>
      <c r="B1063" s="1">
        <v>11.0</v>
      </c>
      <c r="C1063" s="1">
        <v>0.0</v>
      </c>
      <c r="D1063" s="1">
        <v>0.0</v>
      </c>
      <c r="E1063" s="1">
        <v>0.0</v>
      </c>
      <c r="F1063" s="1">
        <v>0.0</v>
      </c>
    </row>
    <row r="1064">
      <c r="A1064" s="1" t="s">
        <v>1563</v>
      </c>
      <c r="B1064" s="1">
        <v>32.0</v>
      </c>
      <c r="C1064" s="1">
        <v>0.0</v>
      </c>
      <c r="D1064" s="1">
        <v>0.0</v>
      </c>
      <c r="E1064" s="1">
        <v>0.0</v>
      </c>
      <c r="F1064" s="1">
        <v>0.0</v>
      </c>
    </row>
    <row r="1065">
      <c r="A1065" s="1" t="s">
        <v>1142</v>
      </c>
      <c r="B1065" s="1">
        <v>147.0</v>
      </c>
      <c r="C1065" s="1">
        <v>0.0</v>
      </c>
      <c r="D1065" s="1">
        <v>0.0</v>
      </c>
      <c r="E1065" s="1">
        <v>0.0</v>
      </c>
      <c r="F1065" s="1">
        <v>0.0</v>
      </c>
    </row>
    <row r="1066">
      <c r="A1066" s="1" t="s">
        <v>745</v>
      </c>
      <c r="B1066" s="1">
        <v>83.0</v>
      </c>
      <c r="C1066" s="1">
        <v>0.0</v>
      </c>
      <c r="D1066" s="1">
        <v>0.0</v>
      </c>
      <c r="E1066" s="1">
        <v>0.0</v>
      </c>
      <c r="F1066" s="1">
        <v>0.0</v>
      </c>
    </row>
    <row r="1067">
      <c r="A1067" s="1" t="s">
        <v>598</v>
      </c>
      <c r="B1067" s="1">
        <v>66.0</v>
      </c>
      <c r="C1067" s="1">
        <v>0.0</v>
      </c>
      <c r="D1067" s="1">
        <v>0.0</v>
      </c>
      <c r="E1067" s="1">
        <v>0.0</v>
      </c>
      <c r="F1067" s="1">
        <v>0.0</v>
      </c>
    </row>
    <row r="1068">
      <c r="A1068" s="1" t="s">
        <v>387</v>
      </c>
      <c r="B1068" s="1">
        <v>10.0</v>
      </c>
      <c r="C1068" s="1">
        <v>0.0</v>
      </c>
      <c r="D1068" s="1">
        <v>0.0</v>
      </c>
      <c r="E1068" s="1">
        <v>0.0</v>
      </c>
      <c r="F1068" s="1">
        <v>0.0</v>
      </c>
    </row>
    <row r="1069">
      <c r="A1069" s="1" t="s">
        <v>1700</v>
      </c>
      <c r="B1069" s="1">
        <v>3.0</v>
      </c>
      <c r="C1069" s="1">
        <v>0.0</v>
      </c>
      <c r="D1069" s="1">
        <v>0.0</v>
      </c>
      <c r="E1069" s="1">
        <v>0.0</v>
      </c>
      <c r="F1069" s="1">
        <v>0.0</v>
      </c>
    </row>
    <row r="1070">
      <c r="A1070" s="1" t="s">
        <v>2062</v>
      </c>
      <c r="B1070" s="1">
        <v>8.0</v>
      </c>
      <c r="C1070" s="1">
        <v>0.0</v>
      </c>
      <c r="D1070" s="1">
        <v>0.0</v>
      </c>
      <c r="E1070" s="1">
        <v>0.0</v>
      </c>
      <c r="F1070" s="1">
        <v>0.0</v>
      </c>
    </row>
    <row r="1071">
      <c r="A1071" s="1" t="s">
        <v>327</v>
      </c>
      <c r="B1071" s="1">
        <v>60.0</v>
      </c>
      <c r="C1071" s="1">
        <v>0.0</v>
      </c>
      <c r="D1071" s="1">
        <v>0.0</v>
      </c>
      <c r="E1071" s="1">
        <v>0.0</v>
      </c>
      <c r="F1071" s="1">
        <v>0.0</v>
      </c>
    </row>
    <row r="1072">
      <c r="A1072" s="1" t="s">
        <v>247</v>
      </c>
      <c r="B1072" s="1">
        <v>17.0</v>
      </c>
      <c r="C1072" s="1">
        <v>0.0</v>
      </c>
      <c r="D1072" s="1">
        <v>0.0</v>
      </c>
      <c r="E1072" s="1">
        <v>0.0</v>
      </c>
      <c r="F1072" s="1">
        <v>0.0</v>
      </c>
    </row>
    <row r="1073">
      <c r="A1073" s="1" t="s">
        <v>926</v>
      </c>
      <c r="B1073" s="1">
        <v>6.0</v>
      </c>
      <c r="C1073" s="1">
        <v>0.0</v>
      </c>
      <c r="D1073" s="1">
        <v>0.0</v>
      </c>
      <c r="E1073" s="1">
        <v>0.0</v>
      </c>
      <c r="F1073" s="1">
        <v>0.0</v>
      </c>
    </row>
    <row r="1074">
      <c r="A1074" s="1" t="s">
        <v>611</v>
      </c>
      <c r="B1074" s="1">
        <v>20.0</v>
      </c>
      <c r="C1074" s="1">
        <v>0.0</v>
      </c>
      <c r="D1074" s="1">
        <v>0.0</v>
      </c>
      <c r="E1074" s="1">
        <v>0.0</v>
      </c>
      <c r="F1074" s="1">
        <v>0.0</v>
      </c>
    </row>
    <row r="1075">
      <c r="A1075" s="1" t="s">
        <v>1471</v>
      </c>
      <c r="B1075" s="1">
        <v>15.0</v>
      </c>
      <c r="C1075" s="1">
        <v>0.0</v>
      </c>
      <c r="D1075" s="1">
        <v>0.0</v>
      </c>
      <c r="E1075" s="1">
        <v>0.0</v>
      </c>
      <c r="F1075" s="1">
        <v>0.0</v>
      </c>
    </row>
    <row r="1076">
      <c r="A1076" s="1" t="s">
        <v>942</v>
      </c>
      <c r="B1076" s="1">
        <v>48.0</v>
      </c>
      <c r="C1076" s="1">
        <v>0.0</v>
      </c>
      <c r="D1076" s="1">
        <v>0.0</v>
      </c>
      <c r="E1076" s="1">
        <v>0.0</v>
      </c>
      <c r="F1076" s="1">
        <v>0.0</v>
      </c>
    </row>
    <row r="1077">
      <c r="A1077" s="1" t="s">
        <v>593</v>
      </c>
      <c r="B1077" s="1">
        <v>88.0</v>
      </c>
      <c r="C1077" s="1">
        <v>0.0</v>
      </c>
      <c r="D1077" s="1">
        <v>0.0</v>
      </c>
      <c r="E1077" s="1">
        <v>0.0</v>
      </c>
      <c r="F1077" s="1">
        <v>0.0</v>
      </c>
    </row>
    <row r="1078">
      <c r="A1078" s="1" t="s">
        <v>468</v>
      </c>
      <c r="B1078" s="1">
        <v>172.0</v>
      </c>
      <c r="C1078" s="1">
        <v>0.0</v>
      </c>
      <c r="D1078" s="1">
        <v>0.0</v>
      </c>
      <c r="E1078" s="1">
        <v>0.0</v>
      </c>
      <c r="F1078" s="1">
        <v>0.0</v>
      </c>
    </row>
    <row r="1079">
      <c r="A1079" s="1" t="s">
        <v>595</v>
      </c>
      <c r="B1079" s="1">
        <v>9.0</v>
      </c>
      <c r="C1079" s="1">
        <v>0.0</v>
      </c>
      <c r="D1079" s="1">
        <v>0.0</v>
      </c>
      <c r="E1079" s="1">
        <v>0.0</v>
      </c>
      <c r="F1079" s="1">
        <v>0.0</v>
      </c>
    </row>
    <row r="1080">
      <c r="A1080" s="1" t="s">
        <v>255</v>
      </c>
      <c r="B1080" s="1">
        <v>4.0</v>
      </c>
      <c r="C1080" s="1">
        <v>0.0</v>
      </c>
      <c r="D1080" s="1">
        <v>0.0</v>
      </c>
      <c r="E1080" s="1">
        <v>0.0</v>
      </c>
      <c r="F1080" s="1">
        <v>0.0</v>
      </c>
    </row>
    <row r="1081">
      <c r="A1081" s="1" t="s">
        <v>1040</v>
      </c>
      <c r="B1081" s="1">
        <v>61.0</v>
      </c>
      <c r="C1081" s="1">
        <v>0.0</v>
      </c>
      <c r="D1081" s="1">
        <v>0.0</v>
      </c>
      <c r="E1081" s="1">
        <v>0.0</v>
      </c>
      <c r="F1081" s="1">
        <v>0.0</v>
      </c>
    </row>
    <row r="1082">
      <c r="A1082" s="1" t="s">
        <v>1492</v>
      </c>
      <c r="B1082" s="1">
        <v>494.0</v>
      </c>
      <c r="C1082" s="1">
        <v>3.0</v>
      </c>
      <c r="D1082" s="1">
        <v>0.0</v>
      </c>
      <c r="E1082" s="1">
        <v>0.0</v>
      </c>
      <c r="F1082" s="1">
        <v>0.0</v>
      </c>
    </row>
    <row r="1083">
      <c r="A1083" s="1" t="s">
        <v>1285</v>
      </c>
      <c r="B1083" s="1">
        <v>11.0</v>
      </c>
      <c r="C1083" s="1">
        <v>0.0</v>
      </c>
      <c r="D1083" s="1">
        <v>0.0</v>
      </c>
      <c r="E1083" s="1">
        <v>0.0</v>
      </c>
      <c r="F1083" s="1">
        <v>0.0</v>
      </c>
    </row>
    <row r="1084">
      <c r="A1084" s="1" t="s">
        <v>1149</v>
      </c>
      <c r="B1084" s="1">
        <v>47.0</v>
      </c>
      <c r="C1084" s="1">
        <v>0.0</v>
      </c>
      <c r="D1084" s="1">
        <v>0.0</v>
      </c>
      <c r="E1084" s="1">
        <v>0.0</v>
      </c>
      <c r="F1084" s="1">
        <v>0.0</v>
      </c>
    </row>
    <row r="1085">
      <c r="A1085" s="1" t="s">
        <v>621</v>
      </c>
      <c r="B1085" s="1">
        <v>3.0</v>
      </c>
      <c r="C1085" s="1">
        <v>0.0</v>
      </c>
      <c r="D1085" s="1">
        <v>0.0</v>
      </c>
      <c r="E1085" s="1">
        <v>0.0</v>
      </c>
      <c r="F1085" s="1">
        <v>0.0</v>
      </c>
    </row>
    <row r="1086">
      <c r="A1086" s="1" t="s">
        <v>495</v>
      </c>
      <c r="B1086" s="1">
        <v>28.0</v>
      </c>
      <c r="C1086" s="1">
        <v>0.0</v>
      </c>
      <c r="D1086" s="1">
        <v>0.0</v>
      </c>
      <c r="E1086" s="1">
        <v>0.0</v>
      </c>
      <c r="F1086" s="1">
        <v>0.0</v>
      </c>
    </row>
    <row r="1087">
      <c r="A1087" s="1" t="s">
        <v>1555</v>
      </c>
      <c r="B1087" s="1">
        <v>49.0</v>
      </c>
      <c r="C1087" s="1">
        <v>0.0</v>
      </c>
      <c r="D1087" s="1">
        <v>0.0</v>
      </c>
      <c r="E1087" s="1">
        <v>0.0</v>
      </c>
      <c r="F1087" s="1">
        <v>0.0</v>
      </c>
    </row>
    <row r="1088">
      <c r="A1088" s="1" t="s">
        <v>1355</v>
      </c>
      <c r="B1088" s="1">
        <v>10.0</v>
      </c>
      <c r="C1088" s="1">
        <v>0.0</v>
      </c>
      <c r="D1088" s="1">
        <v>0.0</v>
      </c>
      <c r="E1088" s="1">
        <v>0.0</v>
      </c>
      <c r="F1088" s="1">
        <v>0.0</v>
      </c>
    </row>
    <row r="1089">
      <c r="A1089" s="1" t="s">
        <v>840</v>
      </c>
      <c r="B1089" s="1">
        <v>17.0</v>
      </c>
      <c r="C1089" s="1">
        <v>0.0</v>
      </c>
      <c r="D1089" s="1">
        <v>0.0</v>
      </c>
      <c r="E1089" s="1">
        <v>0.0</v>
      </c>
      <c r="F1089" s="1">
        <v>0.0</v>
      </c>
    </row>
    <row r="1090">
      <c r="A1090" s="1" t="s">
        <v>1919</v>
      </c>
      <c r="B1090" s="1">
        <v>76.0</v>
      </c>
      <c r="C1090" s="1">
        <v>0.0</v>
      </c>
      <c r="D1090" s="1">
        <v>0.0</v>
      </c>
      <c r="E1090" s="1">
        <v>0.0</v>
      </c>
      <c r="F1090" s="1">
        <v>0.0</v>
      </c>
    </row>
    <row r="1091">
      <c r="A1091" s="1" t="s">
        <v>210</v>
      </c>
      <c r="B1091" s="1">
        <v>81.0</v>
      </c>
      <c r="C1091" s="1">
        <v>0.0</v>
      </c>
      <c r="D1091" s="1">
        <v>0.0</v>
      </c>
      <c r="E1091" s="1">
        <v>0.0</v>
      </c>
      <c r="F1091" s="1">
        <v>0.0</v>
      </c>
    </row>
    <row r="1092">
      <c r="A1092" s="1" t="s">
        <v>539</v>
      </c>
      <c r="B1092" s="1">
        <v>17.0</v>
      </c>
      <c r="C1092" s="1">
        <v>0.0</v>
      </c>
      <c r="D1092" s="1">
        <v>0.0</v>
      </c>
      <c r="E1092" s="1">
        <v>0.0</v>
      </c>
      <c r="F1092" s="1">
        <v>0.0</v>
      </c>
    </row>
    <row r="1093">
      <c r="A1093" s="1" t="s">
        <v>293</v>
      </c>
      <c r="B1093" s="1">
        <v>53.0</v>
      </c>
      <c r="C1093" s="1">
        <v>0.0</v>
      </c>
      <c r="D1093" s="1">
        <v>0.0</v>
      </c>
      <c r="E1093" s="1">
        <v>0.0</v>
      </c>
      <c r="F1093" s="1">
        <v>0.0</v>
      </c>
    </row>
    <row r="1094">
      <c r="A1094" s="1" t="s">
        <v>2020</v>
      </c>
      <c r="B1094" s="1">
        <v>34.0</v>
      </c>
      <c r="C1094" s="1">
        <v>0.0</v>
      </c>
      <c r="D1094" s="1">
        <v>0.0</v>
      </c>
      <c r="E1094" s="1">
        <v>0.0</v>
      </c>
      <c r="F1094" s="1">
        <v>0.0</v>
      </c>
    </row>
    <row r="1095">
      <c r="A1095" s="1" t="s">
        <v>248</v>
      </c>
      <c r="B1095" s="1">
        <v>13.0</v>
      </c>
      <c r="C1095" s="1">
        <v>0.0</v>
      </c>
      <c r="D1095" s="1">
        <v>0.0</v>
      </c>
      <c r="E1095" s="1">
        <v>0.0</v>
      </c>
      <c r="F1095" s="1">
        <v>0.0</v>
      </c>
    </row>
    <row r="1096">
      <c r="A1096" s="1" t="s">
        <v>465</v>
      </c>
      <c r="B1096" s="1">
        <v>34.0</v>
      </c>
      <c r="C1096" s="1">
        <v>0.0</v>
      </c>
      <c r="D1096" s="1">
        <v>0.0</v>
      </c>
      <c r="E1096" s="1">
        <v>0.0</v>
      </c>
      <c r="F1096" s="1">
        <v>0.0</v>
      </c>
    </row>
    <row r="1097">
      <c r="A1097" s="1" t="s">
        <v>1591</v>
      </c>
      <c r="B1097" s="1">
        <v>330.0</v>
      </c>
      <c r="C1097" s="1">
        <v>3.0</v>
      </c>
      <c r="D1097" s="1">
        <v>0.0</v>
      </c>
      <c r="E1097" s="1">
        <v>0.0</v>
      </c>
      <c r="F1097" s="1">
        <v>0.0</v>
      </c>
    </row>
    <row r="1098">
      <c r="A1098" s="1" t="s">
        <v>955</v>
      </c>
      <c r="B1098" s="1">
        <v>10.0</v>
      </c>
      <c r="C1098" s="1">
        <v>0.0</v>
      </c>
      <c r="D1098" s="1">
        <v>0.0</v>
      </c>
      <c r="E1098" s="1">
        <v>0.0</v>
      </c>
      <c r="F1098" s="1">
        <v>0.0</v>
      </c>
    </row>
    <row r="1099">
      <c r="A1099" s="1" t="s">
        <v>1335</v>
      </c>
      <c r="B1099" s="1">
        <v>112.0</v>
      </c>
      <c r="C1099" s="1">
        <v>0.0</v>
      </c>
      <c r="D1099" s="1">
        <v>0.0</v>
      </c>
      <c r="E1099" s="1">
        <v>0.0</v>
      </c>
      <c r="F1099" s="1">
        <v>0.0</v>
      </c>
    </row>
    <row r="1100">
      <c r="A1100" s="1" t="s">
        <v>1850</v>
      </c>
      <c r="B1100" s="1">
        <v>106.0</v>
      </c>
      <c r="C1100" s="1">
        <v>0.0</v>
      </c>
      <c r="D1100" s="1">
        <v>0.0</v>
      </c>
      <c r="E1100" s="1">
        <v>0.0</v>
      </c>
      <c r="F1100" s="1">
        <v>0.0</v>
      </c>
    </row>
    <row r="1101">
      <c r="A1101" s="1" t="s">
        <v>1855</v>
      </c>
      <c r="B1101" s="1">
        <v>21.0</v>
      </c>
      <c r="C1101" s="1">
        <v>0.0</v>
      </c>
      <c r="D1101" s="1">
        <v>0.0</v>
      </c>
      <c r="E1101" s="1">
        <v>0.0</v>
      </c>
      <c r="F1101" s="1">
        <v>0.0</v>
      </c>
    </row>
    <row r="1102">
      <c r="A1102" s="1" t="s">
        <v>1993</v>
      </c>
      <c r="B1102" s="1">
        <v>102.0</v>
      </c>
      <c r="C1102" s="1">
        <v>0.0</v>
      </c>
      <c r="D1102" s="1">
        <v>0.0</v>
      </c>
      <c r="E1102" s="1">
        <v>0.0</v>
      </c>
      <c r="F1102" s="1">
        <v>0.0</v>
      </c>
    </row>
    <row r="1103">
      <c r="A1103" s="1" t="s">
        <v>850</v>
      </c>
      <c r="B1103" s="1">
        <v>61.0</v>
      </c>
      <c r="C1103" s="1">
        <v>0.0</v>
      </c>
      <c r="D1103" s="1">
        <v>0.0</v>
      </c>
      <c r="E1103" s="1">
        <v>0.0</v>
      </c>
      <c r="F1103" s="1">
        <v>0.0</v>
      </c>
    </row>
    <row r="1104">
      <c r="A1104" s="1" t="s">
        <v>1351</v>
      </c>
      <c r="B1104" s="1">
        <v>48.0</v>
      </c>
      <c r="C1104" s="1">
        <v>0.0</v>
      </c>
      <c r="D1104" s="1">
        <v>0.0</v>
      </c>
      <c r="E1104" s="1">
        <v>0.0</v>
      </c>
      <c r="F1104" s="1">
        <v>0.0</v>
      </c>
    </row>
    <row r="1105">
      <c r="A1105" s="1" t="s">
        <v>1766</v>
      </c>
      <c r="B1105" s="1">
        <v>43.0</v>
      </c>
      <c r="C1105" s="1">
        <v>0.0</v>
      </c>
      <c r="D1105" s="1">
        <v>0.0</v>
      </c>
      <c r="E1105" s="1">
        <v>0.0</v>
      </c>
      <c r="F1105" s="1">
        <v>0.0</v>
      </c>
    </row>
    <row r="1106">
      <c r="A1106" s="1" t="s">
        <v>1942</v>
      </c>
      <c r="B1106" s="1">
        <v>43.0</v>
      </c>
      <c r="C1106" s="1">
        <v>0.0</v>
      </c>
      <c r="D1106" s="1">
        <v>0.0</v>
      </c>
      <c r="E1106" s="1">
        <v>0.0</v>
      </c>
      <c r="F1106" s="1">
        <v>0.0</v>
      </c>
    </row>
    <row r="1107">
      <c r="A1107" s="1" t="s">
        <v>1644</v>
      </c>
      <c r="B1107" s="1">
        <v>39.0</v>
      </c>
      <c r="C1107" s="1">
        <v>0.0</v>
      </c>
      <c r="D1107" s="1">
        <v>0.0</v>
      </c>
      <c r="E1107" s="1">
        <v>0.0</v>
      </c>
      <c r="F1107" s="1">
        <v>0.0</v>
      </c>
    </row>
    <row r="1108">
      <c r="A1108" s="1" t="s">
        <v>1745</v>
      </c>
      <c r="B1108" s="1">
        <v>69.0</v>
      </c>
      <c r="C1108" s="1">
        <v>0.0</v>
      </c>
      <c r="D1108" s="1">
        <v>0.0</v>
      </c>
      <c r="E1108" s="1">
        <v>0.0</v>
      </c>
      <c r="F1108" s="1">
        <v>0.0</v>
      </c>
    </row>
    <row r="1109">
      <c r="A1109" s="1" t="s">
        <v>906</v>
      </c>
      <c r="B1109" s="1">
        <v>6.0</v>
      </c>
      <c r="C1109" s="1">
        <v>0.0</v>
      </c>
      <c r="D1109" s="1">
        <v>0.0</v>
      </c>
      <c r="E1109" s="1">
        <v>0.0</v>
      </c>
      <c r="F1109" s="1">
        <v>0.0</v>
      </c>
    </row>
    <row r="1110">
      <c r="A1110" s="1" t="s">
        <v>2035</v>
      </c>
      <c r="B1110" s="1">
        <v>1010.0</v>
      </c>
      <c r="C1110" s="1">
        <v>26.0</v>
      </c>
      <c r="D1110" s="1">
        <v>1.0</v>
      </c>
      <c r="E1110" s="1">
        <v>3.0</v>
      </c>
      <c r="F1110" s="1">
        <v>0.0</v>
      </c>
    </row>
    <row r="1111">
      <c r="A1111" s="1" t="s">
        <v>1239</v>
      </c>
      <c r="B1111" s="1">
        <v>30.0</v>
      </c>
      <c r="C1111" s="1">
        <v>0.0</v>
      </c>
      <c r="D1111" s="1">
        <v>0.0</v>
      </c>
      <c r="E1111" s="1">
        <v>0.0</v>
      </c>
      <c r="F1111" s="1">
        <v>0.0</v>
      </c>
    </row>
    <row r="1112">
      <c r="A1112" s="1" t="s">
        <v>753</v>
      </c>
      <c r="B1112" s="1">
        <v>10.0</v>
      </c>
      <c r="C1112" s="1">
        <v>0.0</v>
      </c>
      <c r="D1112" s="1">
        <v>0.0</v>
      </c>
      <c r="E1112" s="1">
        <v>0.0</v>
      </c>
      <c r="F1112" s="1">
        <v>0.0</v>
      </c>
    </row>
    <row r="1113">
      <c r="A1113" s="1" t="s">
        <v>1787</v>
      </c>
      <c r="B1113" s="1">
        <v>14.0</v>
      </c>
      <c r="C1113" s="1">
        <v>0.0</v>
      </c>
      <c r="D1113" s="1">
        <v>0.0</v>
      </c>
      <c r="E1113" s="1">
        <v>0.0</v>
      </c>
      <c r="F1113" s="1">
        <v>0.0</v>
      </c>
    </row>
    <row r="1114">
      <c r="A1114" s="1" t="s">
        <v>1063</v>
      </c>
      <c r="B1114" s="1">
        <v>23.0</v>
      </c>
      <c r="C1114" s="1">
        <v>0.0</v>
      </c>
      <c r="D1114" s="1">
        <v>0.0</v>
      </c>
      <c r="E1114" s="1">
        <v>0.0</v>
      </c>
      <c r="F1114" s="1">
        <v>0.0</v>
      </c>
    </row>
    <row r="1115">
      <c r="A1115" s="1" t="s">
        <v>1800</v>
      </c>
      <c r="B1115" s="1">
        <v>22.0</v>
      </c>
      <c r="C1115" s="1">
        <v>0.0</v>
      </c>
      <c r="D1115" s="1">
        <v>0.0</v>
      </c>
      <c r="E1115" s="1">
        <v>0.0</v>
      </c>
      <c r="F1115" s="1">
        <v>0.0</v>
      </c>
    </row>
    <row r="1116">
      <c r="A1116" s="1" t="s">
        <v>433</v>
      </c>
      <c r="B1116" s="1">
        <v>12.0</v>
      </c>
      <c r="C1116" s="1">
        <v>0.0</v>
      </c>
      <c r="D1116" s="1">
        <v>0.0</v>
      </c>
      <c r="E1116" s="1">
        <v>0.0</v>
      </c>
      <c r="F1116" s="1">
        <v>0.0</v>
      </c>
    </row>
    <row r="1117">
      <c r="A1117" s="1" t="s">
        <v>1311</v>
      </c>
      <c r="B1117" s="1">
        <v>23.0</v>
      </c>
      <c r="C1117" s="1">
        <v>0.0</v>
      </c>
      <c r="D1117" s="1">
        <v>0.0</v>
      </c>
      <c r="E1117" s="1">
        <v>0.0</v>
      </c>
      <c r="F1117" s="1">
        <v>0.0</v>
      </c>
    </row>
    <row r="1118">
      <c r="A1118" s="1" t="s">
        <v>1086</v>
      </c>
      <c r="B1118" s="1">
        <v>35.0</v>
      </c>
      <c r="C1118" s="1">
        <v>0.0</v>
      </c>
      <c r="D1118" s="1">
        <v>0.0</v>
      </c>
      <c r="E1118" s="1">
        <v>0.0</v>
      </c>
      <c r="F1118" s="1">
        <v>0.0</v>
      </c>
    </row>
    <row r="1119">
      <c r="A1119" s="1" t="s">
        <v>426</v>
      </c>
      <c r="B1119" s="1">
        <v>4.0</v>
      </c>
      <c r="C1119" s="1">
        <v>0.0</v>
      </c>
      <c r="D1119" s="1">
        <v>0.0</v>
      </c>
      <c r="E1119" s="1">
        <v>0.0</v>
      </c>
      <c r="F1119" s="1">
        <v>0.0</v>
      </c>
    </row>
    <row r="1120">
      <c r="A1120" s="1" t="s">
        <v>480</v>
      </c>
      <c r="B1120" s="1">
        <v>36.0</v>
      </c>
      <c r="C1120" s="1">
        <v>0.0</v>
      </c>
      <c r="D1120" s="1">
        <v>0.0</v>
      </c>
      <c r="E1120" s="1">
        <v>0.0</v>
      </c>
      <c r="F1120" s="1">
        <v>0.0</v>
      </c>
    </row>
    <row r="1121">
      <c r="A1121" s="1" t="s">
        <v>1191</v>
      </c>
      <c r="B1121" s="1">
        <v>14.0</v>
      </c>
      <c r="C1121" s="1">
        <v>0.0</v>
      </c>
      <c r="D1121" s="1">
        <v>0.0</v>
      </c>
      <c r="E1121" s="1">
        <v>0.0</v>
      </c>
      <c r="F1121" s="1">
        <v>0.0</v>
      </c>
    </row>
    <row r="1122">
      <c r="A1122" s="1" t="s">
        <v>1788</v>
      </c>
      <c r="B1122" s="1">
        <v>50.0</v>
      </c>
      <c r="C1122" s="1">
        <v>0.0</v>
      </c>
      <c r="D1122" s="1">
        <v>0.0</v>
      </c>
      <c r="E1122" s="1">
        <v>0.0</v>
      </c>
      <c r="F1122" s="1">
        <v>0.0</v>
      </c>
    </row>
    <row r="1123">
      <c r="A1123" s="1" t="s">
        <v>2015</v>
      </c>
      <c r="B1123" s="1">
        <v>78.0</v>
      </c>
      <c r="C1123" s="1">
        <v>0.0</v>
      </c>
      <c r="D1123" s="1">
        <v>0.0</v>
      </c>
      <c r="E1123" s="1">
        <v>0.0</v>
      </c>
      <c r="F1123" s="1">
        <v>0.0</v>
      </c>
    </row>
    <row r="1124">
      <c r="A1124" s="1" t="s">
        <v>1428</v>
      </c>
      <c r="B1124" s="1">
        <v>35.0</v>
      </c>
      <c r="C1124" s="1">
        <v>0.0</v>
      </c>
      <c r="D1124" s="1">
        <v>0.0</v>
      </c>
      <c r="E1124" s="1">
        <v>0.0</v>
      </c>
      <c r="F1124" s="1">
        <v>0.0</v>
      </c>
    </row>
    <row r="1125">
      <c r="A1125" s="1" t="s">
        <v>1862</v>
      </c>
      <c r="B1125" s="1">
        <v>80.0</v>
      </c>
      <c r="C1125" s="1">
        <v>0.0</v>
      </c>
      <c r="D1125" s="1">
        <v>0.0</v>
      </c>
      <c r="E1125" s="1">
        <v>0.0</v>
      </c>
      <c r="F1125" s="1">
        <v>0.0</v>
      </c>
    </row>
    <row r="1126">
      <c r="A1126" s="1" t="s">
        <v>2059</v>
      </c>
      <c r="B1126" s="1">
        <v>10.0</v>
      </c>
      <c r="C1126" s="1">
        <v>0.0</v>
      </c>
      <c r="D1126" s="1">
        <v>0.0</v>
      </c>
      <c r="E1126" s="1">
        <v>0.0</v>
      </c>
      <c r="F1126" s="1">
        <v>0.0</v>
      </c>
    </row>
    <row r="1127">
      <c r="A1127" s="1" t="s">
        <v>782</v>
      </c>
      <c r="B1127" s="1">
        <v>4.0</v>
      </c>
      <c r="C1127" s="1">
        <v>0.0</v>
      </c>
      <c r="D1127" s="1">
        <v>0.0</v>
      </c>
      <c r="E1127" s="1">
        <v>0.0</v>
      </c>
      <c r="F1127" s="1">
        <v>0.0</v>
      </c>
    </row>
    <row r="1128">
      <c r="A1128" s="1" t="s">
        <v>1939</v>
      </c>
      <c r="B1128" s="1">
        <v>83.0</v>
      </c>
      <c r="C1128" s="1">
        <v>0.0</v>
      </c>
      <c r="D1128" s="1">
        <v>0.0</v>
      </c>
      <c r="E1128" s="1">
        <v>0.0</v>
      </c>
      <c r="F1128" s="1">
        <v>0.0</v>
      </c>
    </row>
    <row r="1129">
      <c r="A1129" s="1" t="s">
        <v>1736</v>
      </c>
      <c r="B1129" s="1">
        <v>86.0</v>
      </c>
      <c r="C1129" s="1">
        <v>0.0</v>
      </c>
      <c r="D1129" s="1">
        <v>0.0</v>
      </c>
      <c r="E1129" s="1">
        <v>0.0</v>
      </c>
      <c r="F1129" s="1">
        <v>0.0</v>
      </c>
    </row>
    <row r="1130">
      <c r="A1130" s="1" t="s">
        <v>1279</v>
      </c>
      <c r="B1130" s="1">
        <v>29.0</v>
      </c>
      <c r="C1130" s="1">
        <v>0.0</v>
      </c>
      <c r="D1130" s="1">
        <v>0.0</v>
      </c>
      <c r="E1130" s="1">
        <v>0.0</v>
      </c>
      <c r="F1130" s="1">
        <v>0.0</v>
      </c>
    </row>
    <row r="1131">
      <c r="A1131" s="1" t="s">
        <v>1628</v>
      </c>
      <c r="B1131" s="1">
        <v>108.0</v>
      </c>
      <c r="C1131" s="1">
        <v>0.0</v>
      </c>
      <c r="D1131" s="1">
        <v>0.0</v>
      </c>
      <c r="E1131" s="1">
        <v>0.0</v>
      </c>
      <c r="F1131" s="1">
        <v>0.0</v>
      </c>
    </row>
    <row r="1132">
      <c r="A1132" s="1" t="s">
        <v>1798</v>
      </c>
      <c r="B1132" s="1">
        <v>40.0</v>
      </c>
      <c r="C1132" s="1">
        <v>0.0</v>
      </c>
      <c r="D1132" s="1">
        <v>0.0</v>
      </c>
      <c r="E1132" s="1">
        <v>0.0</v>
      </c>
      <c r="F1132" s="1">
        <v>0.0</v>
      </c>
    </row>
    <row r="1133">
      <c r="A1133" s="1" t="s">
        <v>1251</v>
      </c>
      <c r="B1133" s="1">
        <v>15.0</v>
      </c>
      <c r="C1133" s="1">
        <v>0.0</v>
      </c>
      <c r="D1133" s="1">
        <v>0.0</v>
      </c>
      <c r="E1133" s="1">
        <v>0.0</v>
      </c>
      <c r="F1133" s="1">
        <v>0.0</v>
      </c>
    </row>
    <row r="1134">
      <c r="A1134" s="1" t="s">
        <v>1802</v>
      </c>
      <c r="B1134" s="1">
        <v>28.0</v>
      </c>
      <c r="C1134" s="1">
        <v>0.0</v>
      </c>
      <c r="D1134" s="1">
        <v>0.0</v>
      </c>
      <c r="E1134" s="1">
        <v>0.0</v>
      </c>
      <c r="F1134" s="1">
        <v>0.0</v>
      </c>
    </row>
    <row r="1135">
      <c r="A1135" s="1" t="s">
        <v>1342</v>
      </c>
      <c r="B1135" s="1">
        <v>31.0</v>
      </c>
      <c r="C1135" s="1">
        <v>0.0</v>
      </c>
      <c r="D1135" s="1">
        <v>0.0</v>
      </c>
      <c r="E1135" s="1">
        <v>0.0</v>
      </c>
      <c r="F1135" s="1">
        <v>0.0</v>
      </c>
    </row>
    <row r="1136">
      <c r="A1136" s="1" t="s">
        <v>960</v>
      </c>
      <c r="B1136" s="1">
        <v>8.0</v>
      </c>
      <c r="C1136" s="1">
        <v>0.0</v>
      </c>
      <c r="D1136" s="1">
        <v>0.0</v>
      </c>
      <c r="E1136" s="1">
        <v>0.0</v>
      </c>
      <c r="F1136" s="1">
        <v>0.0</v>
      </c>
    </row>
    <row r="1137">
      <c r="A1137" s="1" t="s">
        <v>1365</v>
      </c>
      <c r="B1137" s="1">
        <v>22.0</v>
      </c>
      <c r="C1137" s="1">
        <v>0.0</v>
      </c>
      <c r="D1137" s="1">
        <v>0.0</v>
      </c>
      <c r="E1137" s="1">
        <v>0.0</v>
      </c>
      <c r="F1137" s="1">
        <v>0.0</v>
      </c>
    </row>
    <row r="1138">
      <c r="A1138" s="1" t="s">
        <v>479</v>
      </c>
      <c r="B1138" s="1">
        <v>10.0</v>
      </c>
      <c r="C1138" s="1">
        <v>0.0</v>
      </c>
      <c r="D1138" s="1">
        <v>0.0</v>
      </c>
      <c r="E1138" s="1">
        <v>0.0</v>
      </c>
      <c r="F1138" s="1">
        <v>0.0</v>
      </c>
    </row>
    <row r="1139">
      <c r="A1139" s="1" t="s">
        <v>1308</v>
      </c>
      <c r="B1139" s="1">
        <v>116.0</v>
      </c>
      <c r="C1139" s="1">
        <v>0.0</v>
      </c>
      <c r="D1139" s="1">
        <v>0.0</v>
      </c>
      <c r="E1139" s="1">
        <v>0.0</v>
      </c>
      <c r="F1139" s="1">
        <v>0.0</v>
      </c>
    </row>
    <row r="1140">
      <c r="A1140" s="1" t="s">
        <v>712</v>
      </c>
      <c r="B1140" s="1">
        <v>131.0</v>
      </c>
      <c r="C1140" s="1">
        <v>0.0</v>
      </c>
      <c r="D1140" s="1">
        <v>0.0</v>
      </c>
      <c r="E1140" s="1">
        <v>0.0</v>
      </c>
      <c r="F1140" s="1">
        <v>0.0</v>
      </c>
    </row>
    <row r="1141">
      <c r="A1141" s="1" t="s">
        <v>671</v>
      </c>
      <c r="B1141" s="1">
        <v>60.0</v>
      </c>
      <c r="C1141" s="1">
        <v>0.0</v>
      </c>
      <c r="D1141" s="1">
        <v>0.0</v>
      </c>
      <c r="E1141" s="1">
        <v>0.0</v>
      </c>
      <c r="F1141" s="1">
        <v>0.0</v>
      </c>
    </row>
    <row r="1142">
      <c r="A1142" s="1" t="s">
        <v>1440</v>
      </c>
      <c r="B1142" s="1">
        <v>109.0</v>
      </c>
      <c r="C1142" s="1">
        <v>0.0</v>
      </c>
      <c r="D1142" s="1">
        <v>0.0</v>
      </c>
      <c r="E1142" s="1">
        <v>0.0</v>
      </c>
      <c r="F1142" s="1">
        <v>0.0</v>
      </c>
    </row>
    <row r="1143">
      <c r="A1143" s="1" t="s">
        <v>700</v>
      </c>
      <c r="B1143" s="1">
        <v>114.0</v>
      </c>
      <c r="C1143" s="1">
        <v>0.0</v>
      </c>
      <c r="D1143" s="1">
        <v>0.0</v>
      </c>
      <c r="E1143" s="1">
        <v>0.0</v>
      </c>
      <c r="F1143" s="1">
        <v>0.0</v>
      </c>
    </row>
    <row r="1144">
      <c r="A1144" s="1" t="s">
        <v>1682</v>
      </c>
      <c r="B1144" s="1">
        <v>45.0</v>
      </c>
      <c r="C1144" s="1">
        <v>0.0</v>
      </c>
      <c r="D1144" s="1">
        <v>0.0</v>
      </c>
      <c r="E1144" s="1">
        <v>0.0</v>
      </c>
      <c r="F1144" s="1">
        <v>0.0</v>
      </c>
    </row>
    <row r="1145">
      <c r="A1145" s="1" t="s">
        <v>1866</v>
      </c>
      <c r="B1145" s="1">
        <v>38.0</v>
      </c>
      <c r="C1145" s="1">
        <v>0.0</v>
      </c>
      <c r="D1145" s="1">
        <v>0.0</v>
      </c>
      <c r="E1145" s="1">
        <v>0.0</v>
      </c>
      <c r="F1145" s="1">
        <v>0.0</v>
      </c>
    </row>
    <row r="1146">
      <c r="A1146" s="1" t="s">
        <v>1830</v>
      </c>
      <c r="B1146" s="1">
        <v>146.0</v>
      </c>
      <c r="C1146" s="1">
        <v>0.0</v>
      </c>
      <c r="D1146" s="1">
        <v>0.0</v>
      </c>
      <c r="E1146" s="1">
        <v>0.0</v>
      </c>
      <c r="F1146" s="1">
        <v>0.0</v>
      </c>
    </row>
    <row r="1147">
      <c r="A1147" s="1" t="s">
        <v>1518</v>
      </c>
      <c r="B1147" s="1">
        <v>21.0</v>
      </c>
      <c r="C1147" s="1">
        <v>0.0</v>
      </c>
      <c r="D1147" s="1">
        <v>0.0</v>
      </c>
      <c r="E1147" s="1">
        <v>0.0</v>
      </c>
      <c r="F1147" s="1">
        <v>0.0</v>
      </c>
    </row>
    <row r="1148">
      <c r="A1148" s="1" t="s">
        <v>1329</v>
      </c>
      <c r="B1148" s="1">
        <v>120.0</v>
      </c>
      <c r="C1148" s="1">
        <v>0.0</v>
      </c>
      <c r="D1148" s="1">
        <v>0.0</v>
      </c>
      <c r="E1148" s="1">
        <v>0.0</v>
      </c>
      <c r="F1148" s="1">
        <v>0.0</v>
      </c>
    </row>
    <row r="1149">
      <c r="A1149" s="1" t="s">
        <v>1397</v>
      </c>
      <c r="B1149" s="1">
        <v>32.0</v>
      </c>
      <c r="C1149" s="1">
        <v>0.0</v>
      </c>
      <c r="D1149" s="1">
        <v>0.0</v>
      </c>
      <c r="E1149" s="1">
        <v>0.0</v>
      </c>
      <c r="F1149" s="1">
        <v>0.0</v>
      </c>
    </row>
    <row r="1150">
      <c r="A1150" s="1" t="s">
        <v>592</v>
      </c>
      <c r="B1150" s="1">
        <v>10.0</v>
      </c>
      <c r="C1150" s="1">
        <v>0.0</v>
      </c>
      <c r="D1150" s="1">
        <v>0.0</v>
      </c>
      <c r="E1150" s="1">
        <v>0.0</v>
      </c>
      <c r="F1150" s="1">
        <v>0.0</v>
      </c>
    </row>
    <row r="1151">
      <c r="A1151" s="1" t="s">
        <v>935</v>
      </c>
      <c r="B1151" s="1">
        <v>31.0</v>
      </c>
      <c r="C1151" s="1">
        <v>0.0</v>
      </c>
      <c r="D1151" s="1">
        <v>0.0</v>
      </c>
      <c r="E1151" s="1">
        <v>0.0</v>
      </c>
      <c r="F1151" s="1">
        <v>0.0</v>
      </c>
    </row>
    <row r="1152">
      <c r="A1152" s="1" t="s">
        <v>578</v>
      </c>
      <c r="B1152" s="1">
        <v>11.0</v>
      </c>
      <c r="C1152" s="1">
        <v>0.0</v>
      </c>
      <c r="D1152" s="1">
        <v>0.0</v>
      </c>
      <c r="E1152" s="1">
        <v>0.0</v>
      </c>
      <c r="F1152" s="1">
        <v>0.0</v>
      </c>
    </row>
    <row r="1153">
      <c r="A1153" s="1" t="s">
        <v>1583</v>
      </c>
      <c r="B1153" s="1">
        <v>56.0</v>
      </c>
      <c r="C1153" s="1">
        <v>0.0</v>
      </c>
      <c r="D1153" s="1">
        <v>0.0</v>
      </c>
      <c r="E1153" s="1">
        <v>0.0</v>
      </c>
      <c r="F1153" s="1">
        <v>0.0</v>
      </c>
    </row>
    <row r="1154">
      <c r="A1154" s="1" t="s">
        <v>1475</v>
      </c>
      <c r="B1154" s="1">
        <v>766.0</v>
      </c>
      <c r="C1154" s="1">
        <v>0.0</v>
      </c>
      <c r="D1154" s="1">
        <v>0.0</v>
      </c>
      <c r="E1154" s="1">
        <v>0.0</v>
      </c>
      <c r="F1154" s="1">
        <v>0.0</v>
      </c>
    </row>
    <row r="1155">
      <c r="A1155" s="1" t="s">
        <v>383</v>
      </c>
      <c r="B1155" s="1">
        <v>26.0</v>
      </c>
      <c r="C1155" s="1">
        <v>0.0</v>
      </c>
      <c r="D1155" s="1">
        <v>0.0</v>
      </c>
      <c r="E1155" s="1">
        <v>0.0</v>
      </c>
      <c r="F1155" s="1">
        <v>0.0</v>
      </c>
    </row>
    <row r="1156">
      <c r="A1156" s="1" t="s">
        <v>1290</v>
      </c>
      <c r="B1156" s="1">
        <v>80.0</v>
      </c>
      <c r="C1156" s="1">
        <v>0.0</v>
      </c>
      <c r="D1156" s="1">
        <v>0.0</v>
      </c>
      <c r="E1156" s="1">
        <v>0.0</v>
      </c>
      <c r="F1156" s="1">
        <v>0.0</v>
      </c>
    </row>
    <row r="1157">
      <c r="A1157" s="1" t="s">
        <v>844</v>
      </c>
      <c r="B1157" s="1">
        <v>19.0</v>
      </c>
      <c r="C1157" s="1">
        <v>0.0</v>
      </c>
      <c r="D1157" s="1">
        <v>0.0</v>
      </c>
      <c r="E1157" s="1">
        <v>0.0</v>
      </c>
      <c r="F1157" s="1">
        <v>0.0</v>
      </c>
    </row>
    <row r="1158">
      <c r="A1158" s="1" t="s">
        <v>947</v>
      </c>
      <c r="B1158" s="1">
        <v>196.0</v>
      </c>
      <c r="C1158" s="1">
        <v>2.0</v>
      </c>
      <c r="D1158" s="1">
        <v>0.0</v>
      </c>
      <c r="E1158" s="1">
        <v>0.0</v>
      </c>
      <c r="F1158" s="1">
        <v>0.0</v>
      </c>
    </row>
    <row r="1159">
      <c r="A1159" s="1" t="s">
        <v>2080</v>
      </c>
      <c r="B1159" s="1">
        <v>48.0</v>
      </c>
      <c r="C1159" s="1">
        <v>0.0</v>
      </c>
      <c r="D1159" s="1">
        <v>0.0</v>
      </c>
      <c r="E1159" s="1">
        <v>0.0</v>
      </c>
      <c r="F1159" s="1">
        <v>0.0</v>
      </c>
    </row>
    <row r="1160">
      <c r="A1160" s="1" t="s">
        <v>1627</v>
      </c>
      <c r="B1160" s="1">
        <v>101.0</v>
      </c>
      <c r="C1160" s="1">
        <v>0.0</v>
      </c>
      <c r="D1160" s="1">
        <v>0.0</v>
      </c>
      <c r="E1160" s="1">
        <v>0.0</v>
      </c>
      <c r="F1160" s="1">
        <v>0.0</v>
      </c>
    </row>
    <row r="1161">
      <c r="A1161" s="1" t="s">
        <v>636</v>
      </c>
      <c r="B1161" s="1">
        <v>85.0</v>
      </c>
      <c r="C1161" s="1">
        <v>0.0</v>
      </c>
      <c r="D1161" s="1">
        <v>0.0</v>
      </c>
      <c r="E1161" s="1">
        <v>0.0</v>
      </c>
      <c r="F1161" s="1">
        <v>0.0</v>
      </c>
    </row>
    <row r="1162">
      <c r="A1162" s="1" t="s">
        <v>1965</v>
      </c>
      <c r="B1162" s="1">
        <v>62.0</v>
      </c>
      <c r="C1162" s="1">
        <v>0.0</v>
      </c>
      <c r="D1162" s="1">
        <v>0.0</v>
      </c>
      <c r="E1162" s="1">
        <v>0.0</v>
      </c>
      <c r="F1162" s="1">
        <v>0.0</v>
      </c>
    </row>
    <row r="1163">
      <c r="A1163" s="1" t="s">
        <v>787</v>
      </c>
      <c r="B1163" s="1">
        <v>5.0</v>
      </c>
      <c r="C1163" s="1">
        <v>0.0</v>
      </c>
      <c r="D1163" s="1">
        <v>0.0</v>
      </c>
      <c r="E1163" s="1">
        <v>0.0</v>
      </c>
      <c r="F1163" s="1">
        <v>0.0</v>
      </c>
    </row>
    <row r="1164">
      <c r="A1164" s="1" t="s">
        <v>1500</v>
      </c>
      <c r="B1164" s="1">
        <v>9.0</v>
      </c>
      <c r="C1164" s="1">
        <v>0.0</v>
      </c>
      <c r="D1164" s="1">
        <v>0.0</v>
      </c>
      <c r="E1164" s="1">
        <v>0.0</v>
      </c>
      <c r="F1164" s="1">
        <v>0.0</v>
      </c>
    </row>
    <row r="1165">
      <c r="A1165" s="1" t="s">
        <v>1761</v>
      </c>
      <c r="B1165" s="1">
        <v>34.0</v>
      </c>
      <c r="C1165" s="1">
        <v>0.0</v>
      </c>
      <c r="D1165" s="1">
        <v>0.0</v>
      </c>
      <c r="E1165" s="1">
        <v>0.0</v>
      </c>
      <c r="F1165" s="1">
        <v>0.0</v>
      </c>
    </row>
    <row r="1166">
      <c r="A1166" s="1" t="s">
        <v>614</v>
      </c>
      <c r="B1166" s="1">
        <v>14.0</v>
      </c>
      <c r="C1166" s="1">
        <v>0.0</v>
      </c>
      <c r="D1166" s="1">
        <v>0.0</v>
      </c>
      <c r="E1166" s="1">
        <v>0.0</v>
      </c>
      <c r="F1166" s="1">
        <v>0.0</v>
      </c>
    </row>
    <row r="1167">
      <c r="A1167" s="1" t="s">
        <v>1225</v>
      </c>
      <c r="B1167" s="1">
        <v>60.0</v>
      </c>
      <c r="C1167" s="1">
        <v>0.0</v>
      </c>
      <c r="D1167" s="1">
        <v>0.0</v>
      </c>
      <c r="E1167" s="1">
        <v>0.0</v>
      </c>
      <c r="F1167" s="1">
        <v>0.0</v>
      </c>
    </row>
    <row r="1168">
      <c r="A1168" s="1" t="s">
        <v>1145</v>
      </c>
      <c r="B1168" s="1">
        <v>28.0</v>
      </c>
      <c r="C1168" s="1">
        <v>0.0</v>
      </c>
      <c r="D1168" s="1">
        <v>0.0</v>
      </c>
      <c r="E1168" s="1">
        <v>0.0</v>
      </c>
      <c r="F1168" s="1">
        <v>0.0</v>
      </c>
    </row>
    <row r="1169">
      <c r="A1169" s="1" t="s">
        <v>310</v>
      </c>
      <c r="B1169" s="1">
        <v>6.0</v>
      </c>
      <c r="C1169" s="1">
        <v>0.0</v>
      </c>
      <c r="D1169" s="1">
        <v>0.0</v>
      </c>
      <c r="E1169" s="1">
        <v>0.0</v>
      </c>
      <c r="F1169" s="1">
        <v>0.0</v>
      </c>
    </row>
    <row r="1170">
      <c r="A1170" s="1" t="s">
        <v>1904</v>
      </c>
      <c r="B1170" s="1">
        <v>81.0</v>
      </c>
      <c r="C1170" s="1">
        <v>0.0</v>
      </c>
      <c r="D1170" s="1">
        <v>0.0</v>
      </c>
      <c r="E1170" s="1">
        <v>0.0</v>
      </c>
      <c r="F1170" s="1">
        <v>0.0</v>
      </c>
    </row>
    <row r="1171">
      <c r="A1171" s="1" t="s">
        <v>1242</v>
      </c>
      <c r="B1171" s="1">
        <v>77.0</v>
      </c>
      <c r="C1171" s="1">
        <v>0.0</v>
      </c>
      <c r="D1171" s="1">
        <v>0.0</v>
      </c>
      <c r="E1171" s="1">
        <v>0.0</v>
      </c>
      <c r="F1171" s="1">
        <v>0.0</v>
      </c>
    </row>
    <row r="1172">
      <c r="A1172" s="1" t="s">
        <v>1778</v>
      </c>
      <c r="B1172" s="1">
        <v>189.0</v>
      </c>
      <c r="C1172" s="1">
        <v>1.0</v>
      </c>
      <c r="D1172" s="1">
        <v>0.0</v>
      </c>
      <c r="E1172" s="1">
        <v>0.0</v>
      </c>
      <c r="F1172" s="1">
        <v>0.0</v>
      </c>
    </row>
    <row r="1173">
      <c r="A1173" s="1" t="s">
        <v>1777</v>
      </c>
      <c r="B1173" s="1">
        <v>5.0</v>
      </c>
      <c r="C1173" s="1">
        <v>0.0</v>
      </c>
      <c r="D1173" s="1">
        <v>0.0</v>
      </c>
      <c r="E1173" s="1">
        <v>0.0</v>
      </c>
      <c r="F1173" s="1">
        <v>0.0</v>
      </c>
    </row>
    <row r="1174">
      <c r="A1174" s="1" t="s">
        <v>2060</v>
      </c>
      <c r="B1174" s="1">
        <v>37.0</v>
      </c>
      <c r="C1174" s="1">
        <v>0.0</v>
      </c>
      <c r="D1174" s="1">
        <v>0.0</v>
      </c>
      <c r="E1174" s="1">
        <v>0.0</v>
      </c>
      <c r="F1174" s="1">
        <v>0.0</v>
      </c>
    </row>
    <row r="1175">
      <c r="A1175" s="1" t="s">
        <v>1437</v>
      </c>
      <c r="B1175" s="1">
        <v>45.0</v>
      </c>
      <c r="C1175" s="1">
        <v>0.0</v>
      </c>
      <c r="D1175" s="1">
        <v>0.0</v>
      </c>
      <c r="E1175" s="1">
        <v>0.0</v>
      </c>
      <c r="F1175" s="1">
        <v>0.0</v>
      </c>
    </row>
    <row r="1176">
      <c r="A1176" s="1" t="s">
        <v>533</v>
      </c>
      <c r="B1176" s="1">
        <v>22.0</v>
      </c>
      <c r="C1176" s="1">
        <v>0.0</v>
      </c>
      <c r="D1176" s="1">
        <v>0.0</v>
      </c>
      <c r="E1176" s="1">
        <v>0.0</v>
      </c>
      <c r="F1176" s="1">
        <v>0.0</v>
      </c>
    </row>
    <row r="1177">
      <c r="A1177" s="1" t="s">
        <v>1953</v>
      </c>
      <c r="B1177" s="1">
        <v>32.0</v>
      </c>
      <c r="C1177" s="1">
        <v>0.0</v>
      </c>
      <c r="D1177" s="1">
        <v>0.0</v>
      </c>
      <c r="E1177" s="1">
        <v>0.0</v>
      </c>
      <c r="F1177" s="1">
        <v>0.0</v>
      </c>
    </row>
    <row r="1178">
      <c r="A1178" s="1" t="s">
        <v>1776</v>
      </c>
      <c r="B1178" s="1">
        <v>21.0</v>
      </c>
      <c r="C1178" s="1">
        <v>0.0</v>
      </c>
      <c r="D1178" s="1">
        <v>0.0</v>
      </c>
      <c r="E1178" s="1">
        <v>0.0</v>
      </c>
      <c r="F1178" s="1">
        <v>0.0</v>
      </c>
    </row>
    <row r="1179">
      <c r="A1179" s="1" t="s">
        <v>748</v>
      </c>
      <c r="B1179" s="1">
        <v>32.0</v>
      </c>
      <c r="C1179" s="1">
        <v>0.0</v>
      </c>
      <c r="D1179" s="1">
        <v>0.0</v>
      </c>
      <c r="E1179" s="1">
        <v>0.0</v>
      </c>
      <c r="F1179" s="1">
        <v>0.0</v>
      </c>
    </row>
    <row r="1180">
      <c r="A1180" s="1" t="s">
        <v>1999</v>
      </c>
      <c r="B1180" s="1">
        <v>35.0</v>
      </c>
      <c r="C1180" s="1">
        <v>0.0</v>
      </c>
      <c r="D1180" s="1">
        <v>0.0</v>
      </c>
      <c r="E1180" s="1">
        <v>0.0</v>
      </c>
      <c r="F1180" s="1">
        <v>0.0</v>
      </c>
    </row>
    <row r="1181">
      <c r="A1181" s="1" t="s">
        <v>691</v>
      </c>
      <c r="B1181" s="1">
        <v>10.0</v>
      </c>
      <c r="C1181" s="1">
        <v>0.0</v>
      </c>
      <c r="D1181" s="1">
        <v>0.0</v>
      </c>
      <c r="E1181" s="1">
        <v>0.0</v>
      </c>
      <c r="F1181" s="1">
        <v>0.0</v>
      </c>
    </row>
    <row r="1182">
      <c r="A1182" s="1" t="s">
        <v>1022</v>
      </c>
      <c r="B1182" s="1">
        <v>87.0</v>
      </c>
      <c r="C1182" s="1">
        <v>0.0</v>
      </c>
      <c r="D1182" s="1">
        <v>0.0</v>
      </c>
      <c r="E1182" s="1">
        <v>0.0</v>
      </c>
      <c r="F1182" s="1">
        <v>0.0</v>
      </c>
    </row>
    <row r="1183">
      <c r="A1183" s="1" t="s">
        <v>1255</v>
      </c>
      <c r="B1183" s="1">
        <v>47.0</v>
      </c>
      <c r="C1183" s="1">
        <v>0.0</v>
      </c>
      <c r="D1183" s="1">
        <v>0.0</v>
      </c>
      <c r="E1183" s="1">
        <v>0.0</v>
      </c>
      <c r="F1183" s="1">
        <v>0.0</v>
      </c>
    </row>
    <row r="1184">
      <c r="A1184" s="1" t="s">
        <v>797</v>
      </c>
      <c r="B1184" s="1">
        <v>12.0</v>
      </c>
      <c r="C1184" s="1">
        <v>0.0</v>
      </c>
      <c r="D1184" s="1">
        <v>0.0</v>
      </c>
      <c r="E1184" s="1">
        <v>0.0</v>
      </c>
      <c r="F1184" s="1">
        <v>0.0</v>
      </c>
    </row>
    <row r="1185">
      <c r="A1185" s="1" t="s">
        <v>1988</v>
      </c>
      <c r="B1185" s="1">
        <v>28.0</v>
      </c>
      <c r="C1185" s="1">
        <v>0.0</v>
      </c>
      <c r="D1185" s="1">
        <v>0.0</v>
      </c>
      <c r="E1185" s="1">
        <v>0.0</v>
      </c>
      <c r="F1185" s="1">
        <v>0.0</v>
      </c>
    </row>
    <row r="1186">
      <c r="A1186" s="1" t="s">
        <v>1296</v>
      </c>
      <c r="B1186" s="1">
        <v>4.0</v>
      </c>
      <c r="C1186" s="1">
        <v>0.0</v>
      </c>
      <c r="D1186" s="1">
        <v>0.0</v>
      </c>
      <c r="E1186" s="1">
        <v>0.0</v>
      </c>
      <c r="F1186" s="1">
        <v>0.0</v>
      </c>
    </row>
    <row r="1187">
      <c r="A1187" s="1" t="s">
        <v>241</v>
      </c>
      <c r="B1187" s="1">
        <v>15.0</v>
      </c>
      <c r="C1187" s="1">
        <v>0.0</v>
      </c>
      <c r="D1187" s="1">
        <v>0.0</v>
      </c>
      <c r="E1187" s="1">
        <v>0.0</v>
      </c>
      <c r="F1187" s="1">
        <v>0.0</v>
      </c>
    </row>
    <row r="1188">
      <c r="A1188" s="1" t="s">
        <v>1343</v>
      </c>
      <c r="B1188" s="1">
        <v>24.0</v>
      </c>
      <c r="C1188" s="1">
        <v>0.0</v>
      </c>
      <c r="D1188" s="1">
        <v>0.0</v>
      </c>
      <c r="E1188" s="1">
        <v>0.0</v>
      </c>
      <c r="F1188" s="1">
        <v>0.0</v>
      </c>
    </row>
    <row r="1189">
      <c r="A1189" s="1" t="s">
        <v>1928</v>
      </c>
      <c r="B1189" s="1">
        <v>222.0</v>
      </c>
      <c r="C1189" s="1">
        <v>2.0</v>
      </c>
      <c r="D1189" s="1">
        <v>0.0</v>
      </c>
      <c r="E1189" s="1">
        <v>0.0</v>
      </c>
      <c r="F1189" s="1">
        <v>0.0</v>
      </c>
    </row>
    <row r="1190">
      <c r="A1190" s="1" t="s">
        <v>1117</v>
      </c>
      <c r="B1190" s="1">
        <v>53.0</v>
      </c>
      <c r="C1190" s="1">
        <v>0.0</v>
      </c>
      <c r="D1190" s="1">
        <v>0.0</v>
      </c>
      <c r="E1190" s="1">
        <v>0.0</v>
      </c>
      <c r="F1190" s="1">
        <v>0.0</v>
      </c>
    </row>
    <row r="1191">
      <c r="A1191" s="1" t="s">
        <v>1116</v>
      </c>
      <c r="B1191" s="1">
        <v>24.0</v>
      </c>
      <c r="C1191" s="1">
        <v>0.0</v>
      </c>
      <c r="D1191" s="1">
        <v>0.0</v>
      </c>
      <c r="E1191" s="1">
        <v>0.0</v>
      </c>
      <c r="F1191" s="1">
        <v>0.0</v>
      </c>
    </row>
    <row r="1192">
      <c r="A1192" s="1" t="s">
        <v>1062</v>
      </c>
      <c r="B1192" s="1">
        <v>83.0</v>
      </c>
      <c r="C1192" s="1">
        <v>0.0</v>
      </c>
      <c r="D1192" s="1">
        <v>0.0</v>
      </c>
      <c r="E1192" s="1">
        <v>0.0</v>
      </c>
      <c r="F1192" s="1">
        <v>0.0</v>
      </c>
    </row>
    <row r="1193">
      <c r="A1193" s="1" t="s">
        <v>951</v>
      </c>
      <c r="B1193" s="1">
        <v>20.0</v>
      </c>
      <c r="C1193" s="1">
        <v>0.0</v>
      </c>
      <c r="D1193" s="1">
        <v>0.0</v>
      </c>
      <c r="E1193" s="1">
        <v>0.0</v>
      </c>
      <c r="F1193" s="1">
        <v>0.0</v>
      </c>
    </row>
    <row r="1194">
      <c r="A1194" s="1" t="s">
        <v>314</v>
      </c>
      <c r="B1194" s="1">
        <v>18.0</v>
      </c>
      <c r="C1194" s="1">
        <v>0.0</v>
      </c>
      <c r="D1194" s="1">
        <v>0.0</v>
      </c>
      <c r="E1194" s="1">
        <v>0.0</v>
      </c>
      <c r="F1194" s="1">
        <v>0.0</v>
      </c>
    </row>
    <row r="1195">
      <c r="A1195" s="1" t="s">
        <v>1470</v>
      </c>
      <c r="B1195" s="1">
        <v>231.0</v>
      </c>
      <c r="C1195" s="1">
        <v>1.0</v>
      </c>
      <c r="D1195" s="1">
        <v>0.0</v>
      </c>
      <c r="E1195" s="1">
        <v>0.0</v>
      </c>
      <c r="F1195" s="1">
        <v>0.0</v>
      </c>
    </row>
    <row r="1196">
      <c r="A1196" s="1" t="s">
        <v>504</v>
      </c>
      <c r="B1196" s="1">
        <v>10.0</v>
      </c>
      <c r="C1196" s="1">
        <v>0.0</v>
      </c>
      <c r="D1196" s="1">
        <v>0.0</v>
      </c>
      <c r="E1196" s="1">
        <v>0.0</v>
      </c>
      <c r="F1196" s="1">
        <v>0.0</v>
      </c>
    </row>
    <row r="1197">
      <c r="A1197" s="1" t="s">
        <v>265</v>
      </c>
      <c r="B1197" s="1">
        <v>18.0</v>
      </c>
      <c r="C1197" s="1">
        <v>0.0</v>
      </c>
      <c r="D1197" s="1">
        <v>0.0</v>
      </c>
      <c r="E1197" s="1">
        <v>0.0</v>
      </c>
      <c r="F1197" s="1">
        <v>0.0</v>
      </c>
    </row>
    <row r="1198">
      <c r="A1198" s="1" t="s">
        <v>708</v>
      </c>
      <c r="B1198" s="1">
        <v>32.0</v>
      </c>
      <c r="C1198" s="1">
        <v>0.0</v>
      </c>
      <c r="D1198" s="1">
        <v>0.0</v>
      </c>
      <c r="E1198" s="1">
        <v>0.0</v>
      </c>
      <c r="F1198" s="1">
        <v>0.0</v>
      </c>
    </row>
    <row r="1199">
      <c r="A1199" s="1" t="s">
        <v>1966</v>
      </c>
      <c r="B1199" s="1">
        <v>59.0</v>
      </c>
      <c r="C1199" s="1">
        <v>0.0</v>
      </c>
      <c r="D1199" s="1">
        <v>0.0</v>
      </c>
      <c r="E1199" s="1">
        <v>0.0</v>
      </c>
      <c r="F1199" s="1">
        <v>0.0</v>
      </c>
    </row>
    <row r="1200">
      <c r="A1200" s="1" t="s">
        <v>765</v>
      </c>
      <c r="B1200" s="1">
        <v>77.0</v>
      </c>
      <c r="C1200" s="1">
        <v>0.0</v>
      </c>
      <c r="D1200" s="1">
        <v>0.0</v>
      </c>
      <c r="E1200" s="1">
        <v>0.0</v>
      </c>
      <c r="F1200" s="1">
        <v>0.0</v>
      </c>
    </row>
    <row r="1201">
      <c r="A1201" s="1" t="s">
        <v>1381</v>
      </c>
      <c r="B1201" s="1">
        <v>6.0</v>
      </c>
      <c r="C1201" s="1">
        <v>0.0</v>
      </c>
      <c r="D1201" s="1">
        <v>0.0</v>
      </c>
      <c r="E1201" s="1">
        <v>0.0</v>
      </c>
      <c r="F1201" s="1">
        <v>0.0</v>
      </c>
    </row>
    <row r="1202">
      <c r="A1202" s="1" t="s">
        <v>316</v>
      </c>
      <c r="B1202" s="1">
        <v>125.0</v>
      </c>
      <c r="C1202" s="1">
        <v>0.0</v>
      </c>
      <c r="D1202" s="1">
        <v>0.0</v>
      </c>
      <c r="E1202" s="1">
        <v>0.0</v>
      </c>
      <c r="F1202" s="1">
        <v>0.0</v>
      </c>
    </row>
    <row r="1203">
      <c r="A1203" s="1" t="s">
        <v>730</v>
      </c>
      <c r="B1203" s="1">
        <v>28.0</v>
      </c>
      <c r="C1203" s="1">
        <v>0.0</v>
      </c>
      <c r="D1203" s="1">
        <v>0.0</v>
      </c>
      <c r="E1203" s="1">
        <v>0.0</v>
      </c>
      <c r="F1203" s="1">
        <v>0.0</v>
      </c>
    </row>
    <row r="1204">
      <c r="A1204" s="1" t="s">
        <v>2022</v>
      </c>
      <c r="B1204" s="1">
        <v>25.0</v>
      </c>
      <c r="C1204" s="1">
        <v>0.0</v>
      </c>
      <c r="D1204" s="1">
        <v>0.0</v>
      </c>
      <c r="E1204" s="1">
        <v>0.0</v>
      </c>
      <c r="F1204" s="1">
        <v>0.0</v>
      </c>
    </row>
    <row r="1205">
      <c r="A1205" s="1" t="s">
        <v>1977</v>
      </c>
      <c r="B1205" s="1">
        <v>45.0</v>
      </c>
      <c r="C1205" s="1">
        <v>0.0</v>
      </c>
      <c r="D1205" s="1">
        <v>0.0</v>
      </c>
      <c r="E1205" s="1">
        <v>0.0</v>
      </c>
      <c r="F1205" s="1">
        <v>0.0</v>
      </c>
    </row>
    <row r="1206">
      <c r="A1206" s="1" t="s">
        <v>429</v>
      </c>
      <c r="B1206" s="1">
        <v>63.0</v>
      </c>
      <c r="C1206" s="1">
        <v>0.0</v>
      </c>
      <c r="D1206" s="1">
        <v>0.0</v>
      </c>
      <c r="E1206" s="1">
        <v>0.0</v>
      </c>
      <c r="F1206" s="1">
        <v>0.0</v>
      </c>
    </row>
    <row r="1207">
      <c r="A1207" s="1" t="s">
        <v>1444</v>
      </c>
      <c r="B1207" s="1">
        <v>4.0</v>
      </c>
      <c r="C1207" s="1">
        <v>0.0</v>
      </c>
      <c r="D1207" s="1">
        <v>0.0</v>
      </c>
      <c r="E1207" s="1">
        <v>0.0</v>
      </c>
      <c r="F1207" s="1">
        <v>0.0</v>
      </c>
    </row>
    <row r="1208">
      <c r="A1208" s="1" t="s">
        <v>1847</v>
      </c>
      <c r="B1208" s="1">
        <v>15.0</v>
      </c>
      <c r="C1208" s="1">
        <v>0.0</v>
      </c>
      <c r="D1208" s="1">
        <v>0.0</v>
      </c>
      <c r="E1208" s="1">
        <v>0.0</v>
      </c>
      <c r="F1208" s="1">
        <v>0.0</v>
      </c>
    </row>
    <row r="1209">
      <c r="A1209" s="1" t="s">
        <v>1007</v>
      </c>
      <c r="B1209" s="1">
        <v>16.0</v>
      </c>
      <c r="C1209" s="1">
        <v>0.0</v>
      </c>
      <c r="D1209" s="1">
        <v>0.0</v>
      </c>
      <c r="E1209" s="1">
        <v>0.0</v>
      </c>
      <c r="F1209" s="1">
        <v>0.0</v>
      </c>
    </row>
    <row r="1210">
      <c r="A1210" s="1" t="s">
        <v>200</v>
      </c>
      <c r="B1210" s="1">
        <v>38.0</v>
      </c>
      <c r="C1210" s="1">
        <v>0.0</v>
      </c>
      <c r="D1210" s="1">
        <v>0.0</v>
      </c>
      <c r="E1210" s="1">
        <v>0.0</v>
      </c>
      <c r="F1210" s="1">
        <v>0.0</v>
      </c>
    </row>
    <row r="1211">
      <c r="A1211" s="1" t="s">
        <v>1388</v>
      </c>
      <c r="B1211" s="1">
        <v>13.0</v>
      </c>
      <c r="C1211" s="1">
        <v>0.0</v>
      </c>
      <c r="D1211" s="1">
        <v>0.0</v>
      </c>
      <c r="E1211" s="1">
        <v>0.0</v>
      </c>
      <c r="F1211" s="1">
        <v>0.0</v>
      </c>
    </row>
    <row r="1212">
      <c r="A1212" s="1" t="s">
        <v>1758</v>
      </c>
      <c r="B1212" s="1">
        <v>38.0</v>
      </c>
      <c r="C1212" s="1">
        <v>0.0</v>
      </c>
      <c r="D1212" s="1">
        <v>0.0</v>
      </c>
      <c r="E1212" s="1">
        <v>0.0</v>
      </c>
      <c r="F1212" s="1">
        <v>0.0</v>
      </c>
    </row>
    <row r="1213">
      <c r="A1213" s="1" t="s">
        <v>516</v>
      </c>
      <c r="B1213" s="1">
        <v>56.0</v>
      </c>
      <c r="C1213" s="1">
        <v>0.0</v>
      </c>
      <c r="D1213" s="1">
        <v>0.0</v>
      </c>
      <c r="E1213" s="1">
        <v>0.0</v>
      </c>
      <c r="F1213" s="1">
        <v>0.0</v>
      </c>
    </row>
    <row r="1214">
      <c r="A1214" s="1" t="s">
        <v>1375</v>
      </c>
      <c r="B1214" s="1">
        <v>3.0</v>
      </c>
      <c r="C1214" s="1">
        <v>0.0</v>
      </c>
      <c r="D1214" s="1">
        <v>0.0</v>
      </c>
      <c r="E1214" s="1">
        <v>0.0</v>
      </c>
      <c r="F1214" s="1">
        <v>0.0</v>
      </c>
    </row>
    <row r="1215">
      <c r="A1215" s="1" t="s">
        <v>969</v>
      </c>
      <c r="B1215" s="1">
        <v>50.0</v>
      </c>
      <c r="C1215" s="1">
        <v>0.0</v>
      </c>
      <c r="D1215" s="1">
        <v>0.0</v>
      </c>
      <c r="E1215" s="1">
        <v>0.0</v>
      </c>
      <c r="F1215" s="1">
        <v>0.0</v>
      </c>
    </row>
    <row r="1216">
      <c r="A1216" s="1" t="s">
        <v>793</v>
      </c>
      <c r="B1216" s="1">
        <v>33.0</v>
      </c>
      <c r="C1216" s="1">
        <v>0.0</v>
      </c>
      <c r="D1216" s="1">
        <v>0.0</v>
      </c>
      <c r="E1216" s="1">
        <v>0.0</v>
      </c>
      <c r="F1216" s="1">
        <v>0.0</v>
      </c>
    </row>
    <row r="1217">
      <c r="A1217" s="1" t="s">
        <v>1750</v>
      </c>
      <c r="B1217" s="1">
        <v>16.0</v>
      </c>
      <c r="C1217" s="1">
        <v>0.0</v>
      </c>
      <c r="D1217" s="1">
        <v>0.0</v>
      </c>
      <c r="E1217" s="1">
        <v>0.0</v>
      </c>
      <c r="F1217" s="1">
        <v>0.0</v>
      </c>
    </row>
    <row r="1218">
      <c r="A1218" s="1" t="s">
        <v>1751</v>
      </c>
      <c r="B1218" s="1">
        <v>66.0</v>
      </c>
      <c r="C1218" s="1">
        <v>0.0</v>
      </c>
      <c r="D1218" s="1">
        <v>0.0</v>
      </c>
      <c r="E1218" s="1">
        <v>0.0</v>
      </c>
      <c r="F1218" s="1">
        <v>0.0</v>
      </c>
    </row>
    <row r="1219">
      <c r="A1219" s="1" t="s">
        <v>2090</v>
      </c>
      <c r="B1219" s="1">
        <v>15.0</v>
      </c>
      <c r="C1219" s="1">
        <v>0.0</v>
      </c>
      <c r="D1219" s="1">
        <v>0.0</v>
      </c>
      <c r="E1219" s="1">
        <v>0.0</v>
      </c>
      <c r="F1219" s="1">
        <v>0.0</v>
      </c>
    </row>
    <row r="1220">
      <c r="A1220" s="1" t="s">
        <v>306</v>
      </c>
      <c r="B1220" s="1">
        <v>563.0</v>
      </c>
      <c r="C1220" s="1">
        <v>8.0</v>
      </c>
      <c r="D1220" s="1">
        <v>1.0</v>
      </c>
      <c r="E1220" s="1">
        <v>4.0</v>
      </c>
      <c r="F1220" s="1">
        <v>0.0</v>
      </c>
    </row>
    <row r="1221">
      <c r="A1221" s="1" t="s">
        <v>309</v>
      </c>
      <c r="B1221" s="1">
        <v>203.0</v>
      </c>
      <c r="C1221" s="1">
        <v>2.0</v>
      </c>
      <c r="D1221" s="1">
        <v>0.0</v>
      </c>
      <c r="E1221" s="1">
        <v>0.0</v>
      </c>
      <c r="F1221" s="1">
        <v>0.0</v>
      </c>
    </row>
    <row r="1222">
      <c r="A1222" s="1" t="s">
        <v>1098</v>
      </c>
      <c r="B1222" s="1">
        <v>14.0</v>
      </c>
      <c r="C1222" s="1">
        <v>0.0</v>
      </c>
      <c r="D1222" s="1">
        <v>0.0</v>
      </c>
      <c r="E1222" s="1">
        <v>0.0</v>
      </c>
      <c r="F1222" s="1">
        <v>0.0</v>
      </c>
    </row>
    <row r="1223">
      <c r="A1223" s="1" t="s">
        <v>1786</v>
      </c>
      <c r="B1223" s="1">
        <v>32.0</v>
      </c>
      <c r="C1223" s="1">
        <v>0.0</v>
      </c>
      <c r="D1223" s="1">
        <v>0.0</v>
      </c>
      <c r="E1223" s="1">
        <v>0.0</v>
      </c>
      <c r="F1223" s="1">
        <v>0.0</v>
      </c>
    </row>
    <row r="1224">
      <c r="A1224" s="1" t="s">
        <v>2076</v>
      </c>
      <c r="B1224" s="1">
        <v>15.0</v>
      </c>
      <c r="C1224" s="1">
        <v>0.0</v>
      </c>
      <c r="D1224" s="1">
        <v>0.0</v>
      </c>
      <c r="E1224" s="1">
        <v>0.0</v>
      </c>
      <c r="F1224" s="1">
        <v>0.0</v>
      </c>
    </row>
    <row r="1225">
      <c r="A1225" s="1" t="s">
        <v>784</v>
      </c>
      <c r="B1225" s="1">
        <v>42.0</v>
      </c>
      <c r="C1225" s="1">
        <v>0.0</v>
      </c>
      <c r="D1225" s="1">
        <v>0.0</v>
      </c>
      <c r="E1225" s="1">
        <v>0.0</v>
      </c>
      <c r="F1225" s="1">
        <v>0.0</v>
      </c>
    </row>
    <row r="1226">
      <c r="A1226" s="1" t="s">
        <v>867</v>
      </c>
      <c r="B1226" s="1">
        <v>42.0</v>
      </c>
      <c r="C1226" s="1">
        <v>0.0</v>
      </c>
      <c r="D1226" s="1">
        <v>0.0</v>
      </c>
      <c r="E1226" s="1">
        <v>0.0</v>
      </c>
      <c r="F1226" s="1">
        <v>0.0</v>
      </c>
    </row>
    <row r="1227">
      <c r="A1227" s="1" t="s">
        <v>523</v>
      </c>
      <c r="B1227" s="1">
        <v>5.0</v>
      </c>
      <c r="C1227" s="1">
        <v>0.0</v>
      </c>
      <c r="D1227" s="1">
        <v>0.0</v>
      </c>
      <c r="E1227" s="1">
        <v>0.0</v>
      </c>
      <c r="F1227" s="1">
        <v>0.0</v>
      </c>
    </row>
    <row r="1228">
      <c r="A1228" s="1" t="s">
        <v>535</v>
      </c>
      <c r="B1228" s="1">
        <v>50.0</v>
      </c>
      <c r="C1228" s="1">
        <v>0.0</v>
      </c>
      <c r="D1228" s="1">
        <v>0.0</v>
      </c>
      <c r="E1228" s="1">
        <v>0.0</v>
      </c>
      <c r="F1228" s="1">
        <v>0.0</v>
      </c>
    </row>
    <row r="1229">
      <c r="A1229" s="1" t="s">
        <v>1740</v>
      </c>
      <c r="B1229" s="1">
        <v>92.0</v>
      </c>
      <c r="C1229" s="1">
        <v>0.0</v>
      </c>
      <c r="D1229" s="1">
        <v>0.0</v>
      </c>
      <c r="E1229" s="1">
        <v>0.0</v>
      </c>
      <c r="F1229" s="1">
        <v>0.0</v>
      </c>
    </row>
    <row r="1230">
      <c r="A1230" s="1" t="s">
        <v>1864</v>
      </c>
      <c r="B1230" s="1">
        <v>140.0</v>
      </c>
      <c r="C1230" s="1">
        <v>0.0</v>
      </c>
      <c r="D1230" s="1">
        <v>0.0</v>
      </c>
      <c r="E1230" s="1">
        <v>0.0</v>
      </c>
      <c r="F1230" s="1">
        <v>0.0</v>
      </c>
    </row>
    <row r="1231">
      <c r="A1231" s="1" t="s">
        <v>1857</v>
      </c>
      <c r="B1231" s="1">
        <v>234.0</v>
      </c>
      <c r="C1231" s="1">
        <v>1.0</v>
      </c>
      <c r="D1231" s="1">
        <v>0.0</v>
      </c>
      <c r="E1231" s="1">
        <v>0.0</v>
      </c>
      <c r="F1231" s="1">
        <v>0.0</v>
      </c>
    </row>
    <row r="1232">
      <c r="A1232" s="1" t="s">
        <v>591</v>
      </c>
      <c r="B1232" s="1">
        <v>71.0</v>
      </c>
      <c r="C1232" s="1">
        <v>0.0</v>
      </c>
      <c r="D1232" s="1">
        <v>0.0</v>
      </c>
      <c r="E1232" s="1">
        <v>0.0</v>
      </c>
      <c r="F1232" s="1">
        <v>0.0</v>
      </c>
    </row>
    <row r="1233">
      <c r="A1233" s="1" t="s">
        <v>1838</v>
      </c>
      <c r="B1233" s="1">
        <v>25.0</v>
      </c>
      <c r="C1233" s="1">
        <v>0.0</v>
      </c>
      <c r="D1233" s="1">
        <v>0.0</v>
      </c>
      <c r="E1233" s="1">
        <v>0.0</v>
      </c>
      <c r="F1233" s="1">
        <v>0.0</v>
      </c>
    </row>
    <row r="1234">
      <c r="A1234" s="1" t="s">
        <v>1054</v>
      </c>
      <c r="B1234" s="1">
        <v>295.0</v>
      </c>
      <c r="C1234" s="1">
        <v>5.0</v>
      </c>
      <c r="D1234" s="1">
        <v>0.0</v>
      </c>
      <c r="E1234" s="1">
        <v>0.0</v>
      </c>
      <c r="F1234" s="1">
        <v>0.0</v>
      </c>
    </row>
    <row r="1235">
      <c r="A1235" s="1" t="s">
        <v>1105</v>
      </c>
      <c r="B1235" s="1">
        <v>35.0</v>
      </c>
      <c r="C1235" s="1">
        <v>0.0</v>
      </c>
      <c r="D1235" s="1">
        <v>0.0</v>
      </c>
      <c r="E1235" s="1">
        <v>0.0</v>
      </c>
      <c r="F1235" s="1">
        <v>0.0</v>
      </c>
    </row>
    <row r="1236">
      <c r="A1236" s="1" t="s">
        <v>1450</v>
      </c>
      <c r="B1236" s="1">
        <v>30.0</v>
      </c>
      <c r="C1236" s="1">
        <v>0.0</v>
      </c>
      <c r="D1236" s="1">
        <v>0.0</v>
      </c>
      <c r="E1236" s="1">
        <v>0.0</v>
      </c>
      <c r="F1236" s="1">
        <v>0.0</v>
      </c>
    </row>
    <row r="1237">
      <c r="A1237" s="1" t="s">
        <v>705</v>
      </c>
      <c r="B1237" s="1">
        <v>385.0</v>
      </c>
      <c r="C1237" s="1">
        <v>9.0</v>
      </c>
      <c r="D1237" s="1">
        <v>0.0</v>
      </c>
      <c r="E1237" s="1">
        <v>0.0</v>
      </c>
      <c r="F1237" s="1">
        <v>0.0</v>
      </c>
    </row>
    <row r="1238">
      <c r="A1238" s="1" t="s">
        <v>1891</v>
      </c>
      <c r="B1238" s="1">
        <v>36.0</v>
      </c>
      <c r="C1238" s="1">
        <v>0.0</v>
      </c>
      <c r="D1238" s="1">
        <v>0.0</v>
      </c>
      <c r="E1238" s="1">
        <v>0.0</v>
      </c>
      <c r="F1238" s="1">
        <v>0.0</v>
      </c>
    </row>
    <row r="1239">
      <c r="A1239" s="1" t="s">
        <v>1404</v>
      </c>
      <c r="B1239" s="1">
        <v>18.0</v>
      </c>
      <c r="C1239" s="1">
        <v>0.0</v>
      </c>
      <c r="D1239" s="1">
        <v>0.0</v>
      </c>
      <c r="E1239" s="1">
        <v>0.0</v>
      </c>
      <c r="F1239" s="1">
        <v>0.0</v>
      </c>
    </row>
    <row r="1240">
      <c r="A1240" s="1" t="s">
        <v>864</v>
      </c>
      <c r="B1240" s="1">
        <v>151.0</v>
      </c>
      <c r="C1240" s="1">
        <v>0.0</v>
      </c>
      <c r="D1240" s="1">
        <v>0.0</v>
      </c>
      <c r="E1240" s="1">
        <v>0.0</v>
      </c>
      <c r="F1240" s="1">
        <v>0.0</v>
      </c>
    </row>
    <row r="1241">
      <c r="A1241" s="1" t="s">
        <v>848</v>
      </c>
      <c r="B1241" s="1">
        <v>155.0</v>
      </c>
      <c r="C1241" s="1">
        <v>0.0</v>
      </c>
      <c r="D1241" s="1">
        <v>0.0</v>
      </c>
      <c r="E1241" s="1">
        <v>0.0</v>
      </c>
      <c r="F1241" s="1">
        <v>0.0</v>
      </c>
    </row>
    <row r="1242">
      <c r="A1242" s="1" t="s">
        <v>251</v>
      </c>
      <c r="B1242" s="1">
        <v>70.0</v>
      </c>
      <c r="C1242" s="1">
        <v>0.0</v>
      </c>
      <c r="D1242" s="1">
        <v>0.0</v>
      </c>
      <c r="E1242" s="1">
        <v>0.0</v>
      </c>
      <c r="F1242" s="1">
        <v>0.0</v>
      </c>
    </row>
    <row r="1243">
      <c r="A1243" s="1" t="s">
        <v>699</v>
      </c>
      <c r="B1243" s="1">
        <v>130.0</v>
      </c>
      <c r="C1243" s="1">
        <v>0.0</v>
      </c>
      <c r="D1243" s="1">
        <v>0.0</v>
      </c>
      <c r="E1243" s="1">
        <v>0.0</v>
      </c>
      <c r="F1243" s="1">
        <v>0.0</v>
      </c>
    </row>
    <row r="1244">
      <c r="A1244" s="1" t="s">
        <v>492</v>
      </c>
      <c r="B1244" s="1">
        <v>53.0</v>
      </c>
      <c r="C1244" s="1">
        <v>0.0</v>
      </c>
      <c r="D1244" s="1">
        <v>0.0</v>
      </c>
      <c r="E1244" s="1">
        <v>0.0</v>
      </c>
      <c r="F1244" s="1">
        <v>0.0</v>
      </c>
    </row>
    <row r="1245">
      <c r="A1245" s="1" t="s">
        <v>1499</v>
      </c>
      <c r="B1245" s="1">
        <v>41.0</v>
      </c>
      <c r="C1245" s="1">
        <v>0.0</v>
      </c>
      <c r="D1245" s="1">
        <v>0.0</v>
      </c>
      <c r="E1245" s="1">
        <v>0.0</v>
      </c>
      <c r="F1245" s="1">
        <v>0.0</v>
      </c>
    </row>
    <row r="1246">
      <c r="A1246" s="1" t="s">
        <v>562</v>
      </c>
      <c r="B1246" s="1">
        <v>33.0</v>
      </c>
      <c r="C1246" s="1">
        <v>0.0</v>
      </c>
      <c r="D1246" s="1">
        <v>0.0</v>
      </c>
      <c r="E1246" s="1">
        <v>0.0</v>
      </c>
      <c r="F1246" s="1">
        <v>0.0</v>
      </c>
    </row>
    <row r="1247">
      <c r="A1247" s="1" t="s">
        <v>344</v>
      </c>
      <c r="B1247" s="1">
        <v>16.0</v>
      </c>
      <c r="C1247" s="1">
        <v>0.0</v>
      </c>
      <c r="D1247" s="1">
        <v>0.0</v>
      </c>
      <c r="E1247" s="1">
        <v>0.0</v>
      </c>
      <c r="F1247" s="1">
        <v>0.0</v>
      </c>
    </row>
    <row r="1248">
      <c r="A1248" s="1" t="s">
        <v>2039</v>
      </c>
      <c r="B1248" s="1">
        <v>68.0</v>
      </c>
      <c r="C1248" s="1">
        <v>0.0</v>
      </c>
      <c r="D1248" s="1">
        <v>0.0</v>
      </c>
      <c r="E1248" s="1">
        <v>0.0</v>
      </c>
      <c r="F1248" s="1">
        <v>0.0</v>
      </c>
    </row>
    <row r="1249">
      <c r="A1249" s="1" t="s">
        <v>526</v>
      </c>
      <c r="B1249" s="1">
        <v>30.0</v>
      </c>
      <c r="C1249" s="1">
        <v>0.0</v>
      </c>
      <c r="D1249" s="1">
        <v>0.0</v>
      </c>
      <c r="E1249" s="1">
        <v>0.0</v>
      </c>
      <c r="F1249" s="1">
        <v>0.0</v>
      </c>
    </row>
    <row r="1250">
      <c r="A1250" s="1" t="s">
        <v>1531</v>
      </c>
      <c r="B1250" s="1">
        <v>504.0</v>
      </c>
      <c r="C1250" s="1">
        <v>21.0</v>
      </c>
      <c r="D1250" s="1">
        <v>0.0</v>
      </c>
      <c r="E1250" s="1">
        <v>1.0</v>
      </c>
      <c r="F1250" s="1">
        <v>0.0</v>
      </c>
    </row>
    <row r="1251">
      <c r="A1251" s="1" t="s">
        <v>726</v>
      </c>
      <c r="B1251" s="1">
        <v>23.0</v>
      </c>
      <c r="C1251" s="1">
        <v>0.0</v>
      </c>
      <c r="D1251" s="1">
        <v>0.0</v>
      </c>
      <c r="E1251" s="1">
        <v>0.0</v>
      </c>
      <c r="F1251" s="1">
        <v>0.0</v>
      </c>
    </row>
    <row r="1252">
      <c r="A1252" s="1" t="s">
        <v>1121</v>
      </c>
      <c r="B1252" s="1">
        <v>61.0</v>
      </c>
      <c r="C1252" s="1">
        <v>0.0</v>
      </c>
      <c r="D1252" s="1">
        <v>0.0</v>
      </c>
      <c r="E1252" s="1">
        <v>0.0</v>
      </c>
      <c r="F1252" s="1">
        <v>0.0</v>
      </c>
    </row>
    <row r="1253">
      <c r="A1253" s="1" t="s">
        <v>651</v>
      </c>
      <c r="B1253" s="1">
        <v>7.0</v>
      </c>
      <c r="C1253" s="1">
        <v>0.0</v>
      </c>
      <c r="D1253" s="1">
        <v>0.0</v>
      </c>
      <c r="E1253" s="1">
        <v>0.0</v>
      </c>
      <c r="F1253" s="1">
        <v>0.0</v>
      </c>
    </row>
    <row r="1254">
      <c r="A1254" s="1" t="s">
        <v>1361</v>
      </c>
      <c r="B1254" s="1">
        <v>10.0</v>
      </c>
      <c r="C1254" s="1">
        <v>0.0</v>
      </c>
      <c r="D1254" s="1">
        <v>0.0</v>
      </c>
      <c r="E1254" s="1">
        <v>0.0</v>
      </c>
      <c r="F1254" s="1">
        <v>0.0</v>
      </c>
    </row>
    <row r="1255">
      <c r="A1255" s="1" t="s">
        <v>741</v>
      </c>
      <c r="B1255" s="1">
        <v>11.0</v>
      </c>
      <c r="C1255" s="1">
        <v>0.0</v>
      </c>
      <c r="D1255" s="1">
        <v>0.0</v>
      </c>
      <c r="E1255" s="1">
        <v>0.0</v>
      </c>
      <c r="F1255" s="1">
        <v>0.0</v>
      </c>
    </row>
    <row r="1256">
      <c r="A1256" s="1" t="s">
        <v>1722</v>
      </c>
      <c r="B1256" s="1">
        <v>29.0</v>
      </c>
      <c r="C1256" s="1">
        <v>0.0</v>
      </c>
      <c r="D1256" s="1">
        <v>0.0</v>
      </c>
      <c r="E1256" s="1">
        <v>0.0</v>
      </c>
      <c r="F1256" s="1">
        <v>0.0</v>
      </c>
    </row>
    <row r="1257">
      <c r="A1257" s="1" t="s">
        <v>1882</v>
      </c>
      <c r="B1257" s="1">
        <v>73.0</v>
      </c>
      <c r="C1257" s="1">
        <v>0.0</v>
      </c>
      <c r="D1257" s="1">
        <v>0.0</v>
      </c>
      <c r="E1257" s="1">
        <v>0.0</v>
      </c>
      <c r="F1257" s="1">
        <v>0.0</v>
      </c>
    </row>
    <row r="1258">
      <c r="A1258" s="1" t="s">
        <v>1759</v>
      </c>
      <c r="B1258" s="1">
        <v>27.0</v>
      </c>
      <c r="C1258" s="1">
        <v>0.0</v>
      </c>
      <c r="D1258" s="1">
        <v>0.0</v>
      </c>
      <c r="E1258" s="1">
        <v>0.0</v>
      </c>
      <c r="F1258" s="1">
        <v>0.0</v>
      </c>
    </row>
    <row r="1259">
      <c r="A1259" s="1" t="s">
        <v>744</v>
      </c>
      <c r="B1259" s="1">
        <v>28.0</v>
      </c>
      <c r="C1259" s="1">
        <v>0.0</v>
      </c>
      <c r="D1259" s="1">
        <v>0.0</v>
      </c>
      <c r="E1259" s="1">
        <v>0.0</v>
      </c>
      <c r="F1259" s="1">
        <v>0.0</v>
      </c>
    </row>
    <row r="1260">
      <c r="A1260" s="1" t="s">
        <v>1122</v>
      </c>
      <c r="B1260" s="1">
        <v>14.0</v>
      </c>
      <c r="C1260" s="1">
        <v>0.0</v>
      </c>
      <c r="D1260" s="1">
        <v>0.0</v>
      </c>
      <c r="E1260" s="1">
        <v>0.0</v>
      </c>
      <c r="F1260" s="1">
        <v>0.0</v>
      </c>
    </row>
    <row r="1261">
      <c r="A1261" s="1" t="s">
        <v>870</v>
      </c>
      <c r="B1261" s="1">
        <v>20.0</v>
      </c>
      <c r="C1261" s="1">
        <v>0.0</v>
      </c>
      <c r="D1261" s="1">
        <v>0.0</v>
      </c>
      <c r="E1261" s="1">
        <v>0.0</v>
      </c>
      <c r="F1261" s="1">
        <v>0.0</v>
      </c>
    </row>
    <row r="1262">
      <c r="A1262" s="1" t="s">
        <v>1148</v>
      </c>
      <c r="B1262" s="1">
        <v>56.0</v>
      </c>
      <c r="C1262" s="1">
        <v>0.0</v>
      </c>
      <c r="D1262" s="1">
        <v>0.0</v>
      </c>
      <c r="E1262" s="1">
        <v>0.0</v>
      </c>
      <c r="F1262" s="1">
        <v>0.0</v>
      </c>
    </row>
    <row r="1263">
      <c r="A1263" s="1" t="s">
        <v>789</v>
      </c>
      <c r="B1263" s="1">
        <v>168.0</v>
      </c>
      <c r="C1263" s="1">
        <v>0.0</v>
      </c>
      <c r="D1263" s="1">
        <v>0.0</v>
      </c>
      <c r="E1263" s="1">
        <v>0.0</v>
      </c>
      <c r="F1263" s="1">
        <v>0.0</v>
      </c>
    </row>
    <row r="1264">
      <c r="A1264" s="1" t="s">
        <v>732</v>
      </c>
      <c r="B1264" s="1">
        <v>7.0</v>
      </c>
      <c r="C1264" s="1">
        <v>0.0</v>
      </c>
      <c r="D1264" s="1">
        <v>0.0</v>
      </c>
      <c r="E1264" s="1">
        <v>0.0</v>
      </c>
      <c r="F1264" s="1">
        <v>0.0</v>
      </c>
    </row>
    <row r="1265">
      <c r="A1265" s="1" t="s">
        <v>357</v>
      </c>
      <c r="B1265" s="1">
        <v>17.0</v>
      </c>
      <c r="C1265" s="1">
        <v>0.0</v>
      </c>
      <c r="D1265" s="1">
        <v>0.0</v>
      </c>
      <c r="E1265" s="1">
        <v>0.0</v>
      </c>
      <c r="F1265" s="1">
        <v>0.0</v>
      </c>
    </row>
    <row r="1266">
      <c r="A1266" s="1" t="s">
        <v>565</v>
      </c>
      <c r="B1266" s="1">
        <v>19.0</v>
      </c>
      <c r="C1266" s="1">
        <v>0.0</v>
      </c>
      <c r="D1266" s="1">
        <v>0.0</v>
      </c>
      <c r="E1266" s="1">
        <v>0.0</v>
      </c>
      <c r="F1266" s="1">
        <v>0.0</v>
      </c>
    </row>
    <row r="1267">
      <c r="A1267" s="1" t="s">
        <v>835</v>
      </c>
      <c r="B1267" s="1">
        <v>79.0</v>
      </c>
      <c r="C1267" s="1">
        <v>0.0</v>
      </c>
      <c r="D1267" s="1">
        <v>0.0</v>
      </c>
      <c r="E1267" s="1">
        <v>0.0</v>
      </c>
      <c r="F1267" s="1">
        <v>0.0</v>
      </c>
    </row>
    <row r="1268">
      <c r="A1268" s="1" t="s">
        <v>1611</v>
      </c>
      <c r="B1268" s="1">
        <v>58.0</v>
      </c>
      <c r="C1268" s="1">
        <v>0.0</v>
      </c>
      <c r="D1268" s="1">
        <v>0.0</v>
      </c>
      <c r="E1268" s="1">
        <v>0.0</v>
      </c>
      <c r="F1268" s="1">
        <v>0.0</v>
      </c>
    </row>
    <row r="1269">
      <c r="A1269" s="1" t="s">
        <v>1421</v>
      </c>
      <c r="B1269" s="1">
        <v>15.0</v>
      </c>
      <c r="C1269" s="1">
        <v>0.0</v>
      </c>
      <c r="D1269" s="1">
        <v>0.0</v>
      </c>
      <c r="E1269" s="1">
        <v>0.0</v>
      </c>
      <c r="F1269" s="1">
        <v>0.0</v>
      </c>
    </row>
    <row r="1270">
      <c r="A1270" s="1" t="s">
        <v>1218</v>
      </c>
      <c r="B1270" s="1">
        <v>28.0</v>
      </c>
      <c r="C1270" s="1">
        <v>0.0</v>
      </c>
      <c r="D1270" s="1">
        <v>0.0</v>
      </c>
      <c r="E1270" s="1">
        <v>0.0</v>
      </c>
      <c r="F1270" s="1">
        <v>0.0</v>
      </c>
    </row>
    <row r="1271">
      <c r="A1271" s="1" t="s">
        <v>866</v>
      </c>
      <c r="B1271" s="1">
        <v>24.0</v>
      </c>
      <c r="C1271" s="1">
        <v>0.0</v>
      </c>
      <c r="D1271" s="1">
        <v>0.0</v>
      </c>
      <c r="E1271" s="1">
        <v>0.0</v>
      </c>
      <c r="F1271" s="1">
        <v>0.0</v>
      </c>
    </row>
    <row r="1272">
      <c r="A1272" s="1" t="s">
        <v>771</v>
      </c>
      <c r="B1272" s="1">
        <v>12.0</v>
      </c>
      <c r="C1272" s="1">
        <v>0.0</v>
      </c>
      <c r="D1272" s="1">
        <v>0.0</v>
      </c>
      <c r="E1272" s="1">
        <v>0.0</v>
      </c>
      <c r="F1272" s="1">
        <v>0.0</v>
      </c>
    </row>
    <row r="1273">
      <c r="A1273" s="1" t="s">
        <v>410</v>
      </c>
      <c r="B1273" s="1">
        <v>60.0</v>
      </c>
      <c r="C1273" s="1">
        <v>0.0</v>
      </c>
      <c r="D1273" s="1">
        <v>0.0</v>
      </c>
      <c r="E1273" s="1">
        <v>0.0</v>
      </c>
      <c r="F1273" s="1">
        <v>0.0</v>
      </c>
    </row>
    <row r="1274">
      <c r="A1274" s="1" t="s">
        <v>1483</v>
      </c>
      <c r="B1274" s="1">
        <v>31.0</v>
      </c>
      <c r="C1274" s="1">
        <v>0.0</v>
      </c>
      <c r="D1274" s="1">
        <v>0.0</v>
      </c>
      <c r="E1274" s="1">
        <v>0.0</v>
      </c>
      <c r="F1274" s="1">
        <v>0.0</v>
      </c>
    </row>
    <row r="1275">
      <c r="A1275" s="1" t="s">
        <v>1209</v>
      </c>
      <c r="B1275" s="1">
        <v>16.0</v>
      </c>
      <c r="C1275" s="1">
        <v>0.0</v>
      </c>
      <c r="D1275" s="1">
        <v>0.0</v>
      </c>
      <c r="E1275" s="1">
        <v>0.0</v>
      </c>
      <c r="F1275" s="1">
        <v>0.0</v>
      </c>
    </row>
    <row r="1276">
      <c r="A1276" s="1" t="s">
        <v>1526</v>
      </c>
      <c r="B1276" s="1">
        <v>174.0</v>
      </c>
      <c r="C1276" s="1">
        <v>1.0</v>
      </c>
      <c r="D1276" s="1">
        <v>0.0</v>
      </c>
      <c r="E1276" s="1">
        <v>0.0</v>
      </c>
      <c r="F1276" s="1">
        <v>0.0</v>
      </c>
    </row>
    <row r="1277">
      <c r="A1277" s="1" t="s">
        <v>2029</v>
      </c>
      <c r="B1277" s="1">
        <v>31.0</v>
      </c>
      <c r="C1277" s="1">
        <v>0.0</v>
      </c>
      <c r="D1277" s="1">
        <v>0.0</v>
      </c>
      <c r="E1277" s="1">
        <v>0.0</v>
      </c>
      <c r="F1277" s="1">
        <v>0.0</v>
      </c>
    </row>
    <row r="1278">
      <c r="A1278" s="1" t="s">
        <v>451</v>
      </c>
      <c r="B1278" s="1">
        <v>41.0</v>
      </c>
      <c r="C1278" s="1">
        <v>0.0</v>
      </c>
      <c r="D1278" s="1">
        <v>0.0</v>
      </c>
      <c r="E1278" s="1">
        <v>0.0</v>
      </c>
      <c r="F1278" s="1">
        <v>0.0</v>
      </c>
    </row>
    <row r="1279">
      <c r="A1279" s="1" t="s">
        <v>879</v>
      </c>
      <c r="B1279" s="1">
        <v>49.0</v>
      </c>
      <c r="C1279" s="1">
        <v>0.0</v>
      </c>
      <c r="D1279" s="1">
        <v>0.0</v>
      </c>
      <c r="E1279" s="1">
        <v>0.0</v>
      </c>
      <c r="F1279" s="1">
        <v>0.0</v>
      </c>
    </row>
    <row r="1280">
      <c r="A1280" s="1" t="s">
        <v>1975</v>
      </c>
      <c r="B1280" s="1">
        <v>11.0</v>
      </c>
      <c r="C1280" s="1">
        <v>0.0</v>
      </c>
      <c r="D1280" s="1">
        <v>0.0</v>
      </c>
      <c r="E1280" s="1">
        <v>0.0</v>
      </c>
      <c r="F1280" s="1">
        <v>0.0</v>
      </c>
    </row>
    <row r="1281">
      <c r="A1281" s="1" t="s">
        <v>1796</v>
      </c>
      <c r="B1281" s="1">
        <v>30.0</v>
      </c>
      <c r="C1281" s="1">
        <v>0.0</v>
      </c>
      <c r="D1281" s="1">
        <v>0.0</v>
      </c>
      <c r="E1281" s="1">
        <v>0.0</v>
      </c>
      <c r="F1281" s="1">
        <v>0.0</v>
      </c>
    </row>
    <row r="1282">
      <c r="A1282" s="1" t="s">
        <v>988</v>
      </c>
      <c r="B1282" s="1">
        <v>165.0</v>
      </c>
      <c r="C1282" s="1">
        <v>0.0</v>
      </c>
      <c r="D1282" s="1">
        <v>0.0</v>
      </c>
      <c r="E1282" s="1">
        <v>0.0</v>
      </c>
      <c r="F1282" s="1">
        <v>0.0</v>
      </c>
    </row>
    <row r="1283">
      <c r="A1283" s="1" t="s">
        <v>455</v>
      </c>
      <c r="B1283" s="1">
        <v>40.0</v>
      </c>
      <c r="C1283" s="1">
        <v>0.0</v>
      </c>
      <c r="D1283" s="1">
        <v>0.0</v>
      </c>
      <c r="E1283" s="1">
        <v>0.0</v>
      </c>
      <c r="F1283" s="1">
        <v>0.0</v>
      </c>
    </row>
    <row r="1284">
      <c r="A1284" s="1" t="s">
        <v>1417</v>
      </c>
      <c r="B1284" s="1">
        <v>21.0</v>
      </c>
      <c r="C1284" s="1">
        <v>0.0</v>
      </c>
      <c r="D1284" s="1">
        <v>0.0</v>
      </c>
      <c r="E1284" s="1">
        <v>0.0</v>
      </c>
      <c r="F1284" s="1">
        <v>0.0</v>
      </c>
    </row>
    <row r="1285">
      <c r="A1285" s="1" t="s">
        <v>424</v>
      </c>
      <c r="B1285" s="1">
        <v>63.0</v>
      </c>
      <c r="C1285" s="1">
        <v>0.0</v>
      </c>
      <c r="D1285" s="1">
        <v>0.0</v>
      </c>
      <c r="E1285" s="1">
        <v>0.0</v>
      </c>
      <c r="F1285" s="1">
        <v>0.0</v>
      </c>
    </row>
    <row r="1286">
      <c r="A1286" s="1" t="s">
        <v>1333</v>
      </c>
      <c r="B1286" s="1">
        <v>35.0</v>
      </c>
      <c r="C1286" s="1">
        <v>0.0</v>
      </c>
      <c r="D1286" s="1">
        <v>0.0</v>
      </c>
      <c r="E1286" s="1">
        <v>0.0</v>
      </c>
      <c r="F1286" s="1">
        <v>0.0</v>
      </c>
    </row>
    <row r="1287">
      <c r="A1287" s="1" t="s">
        <v>956</v>
      </c>
      <c r="B1287" s="1">
        <v>8.0</v>
      </c>
      <c r="C1287" s="1">
        <v>0.0</v>
      </c>
      <c r="D1287" s="1">
        <v>0.0</v>
      </c>
      <c r="E1287" s="1">
        <v>0.0</v>
      </c>
      <c r="F1287" s="1">
        <v>0.0</v>
      </c>
    </row>
    <row r="1288">
      <c r="A1288" s="1" t="s">
        <v>1433</v>
      </c>
      <c r="B1288" s="1">
        <v>45.0</v>
      </c>
      <c r="C1288" s="1">
        <v>0.0</v>
      </c>
      <c r="D1288" s="1">
        <v>0.0</v>
      </c>
      <c r="E1288" s="1">
        <v>0.0</v>
      </c>
      <c r="F1288" s="1">
        <v>0.0</v>
      </c>
    </row>
    <row r="1289">
      <c r="A1289" s="1" t="s">
        <v>1931</v>
      </c>
      <c r="B1289" s="1">
        <v>42.0</v>
      </c>
      <c r="C1289" s="1">
        <v>0.0</v>
      </c>
      <c r="D1289" s="1">
        <v>0.0</v>
      </c>
      <c r="E1289" s="1">
        <v>0.0</v>
      </c>
      <c r="F1289" s="1">
        <v>0.0</v>
      </c>
    </row>
    <row r="1290">
      <c r="A1290" s="1" t="s">
        <v>1890</v>
      </c>
      <c r="B1290" s="1">
        <v>26.0</v>
      </c>
      <c r="C1290" s="1">
        <v>0.0</v>
      </c>
      <c r="D1290" s="1">
        <v>0.0</v>
      </c>
      <c r="E1290" s="1">
        <v>0.0</v>
      </c>
      <c r="F1290" s="1">
        <v>0.0</v>
      </c>
    </row>
    <row r="1291">
      <c r="A1291" s="1" t="s">
        <v>1551</v>
      </c>
      <c r="B1291" s="1">
        <v>36.0</v>
      </c>
      <c r="C1291" s="1">
        <v>0.0</v>
      </c>
      <c r="D1291" s="1">
        <v>0.0</v>
      </c>
      <c r="E1291" s="1">
        <v>0.0</v>
      </c>
      <c r="F1291" s="1">
        <v>0.0</v>
      </c>
    </row>
    <row r="1292">
      <c r="A1292" s="1" t="s">
        <v>256</v>
      </c>
      <c r="B1292" s="1">
        <v>69.0</v>
      </c>
      <c r="C1292" s="1">
        <v>0.0</v>
      </c>
      <c r="D1292" s="1">
        <v>0.0</v>
      </c>
      <c r="E1292" s="1">
        <v>0.0</v>
      </c>
      <c r="F1292" s="1">
        <v>0.0</v>
      </c>
    </row>
    <row r="1293">
      <c r="A1293" s="1" t="s">
        <v>222</v>
      </c>
      <c r="B1293" s="1">
        <v>3.0</v>
      </c>
      <c r="C1293" s="1">
        <v>0.0</v>
      </c>
      <c r="D1293" s="1">
        <v>0.0</v>
      </c>
      <c r="E1293" s="1">
        <v>0.0</v>
      </c>
      <c r="F1293" s="1">
        <v>0.0</v>
      </c>
    </row>
    <row r="1294">
      <c r="A1294" s="1" t="s">
        <v>680</v>
      </c>
      <c r="B1294" s="1">
        <v>101.0</v>
      </c>
      <c r="C1294" s="1">
        <v>0.0</v>
      </c>
      <c r="D1294" s="1">
        <v>0.0</v>
      </c>
      <c r="E1294" s="1">
        <v>0.0</v>
      </c>
      <c r="F1294" s="1">
        <v>0.0</v>
      </c>
    </row>
    <row r="1295">
      <c r="A1295" s="1" t="s">
        <v>1414</v>
      </c>
      <c r="B1295" s="1">
        <v>40.0</v>
      </c>
      <c r="C1295" s="1">
        <v>0.0</v>
      </c>
      <c r="D1295" s="1">
        <v>0.0</v>
      </c>
      <c r="E1295" s="1">
        <v>0.0</v>
      </c>
      <c r="F1295" s="1">
        <v>0.0</v>
      </c>
    </row>
    <row r="1296">
      <c r="A1296" s="1" t="s">
        <v>2023</v>
      </c>
      <c r="B1296" s="1">
        <v>264.0</v>
      </c>
      <c r="C1296" s="1">
        <v>1.0</v>
      </c>
      <c r="D1296" s="1">
        <v>0.0</v>
      </c>
      <c r="E1296" s="1">
        <v>0.0</v>
      </c>
      <c r="F1296" s="1">
        <v>0.0</v>
      </c>
    </row>
    <row r="1297">
      <c r="A1297" s="1" t="s">
        <v>1289</v>
      </c>
      <c r="B1297" s="1">
        <v>71.0</v>
      </c>
      <c r="C1297" s="1">
        <v>0.0</v>
      </c>
      <c r="D1297" s="1">
        <v>0.0</v>
      </c>
      <c r="E1297" s="1">
        <v>0.0</v>
      </c>
      <c r="F1297" s="1">
        <v>0.0</v>
      </c>
    </row>
    <row r="1298">
      <c r="A1298" s="1" t="s">
        <v>360</v>
      </c>
      <c r="B1298" s="1">
        <v>35.0</v>
      </c>
      <c r="C1298" s="1">
        <v>0.0</v>
      </c>
      <c r="D1298" s="1">
        <v>0.0</v>
      </c>
      <c r="E1298" s="1">
        <v>0.0</v>
      </c>
      <c r="F1298" s="1">
        <v>0.0</v>
      </c>
    </row>
    <row r="1299">
      <c r="A1299" s="1" t="s">
        <v>845</v>
      </c>
      <c r="B1299" s="1">
        <v>46.0</v>
      </c>
      <c r="C1299" s="1">
        <v>0.0</v>
      </c>
      <c r="D1299" s="1">
        <v>0.0</v>
      </c>
      <c r="E1299" s="1">
        <v>0.0</v>
      </c>
      <c r="F1299" s="1">
        <v>0.0</v>
      </c>
    </row>
    <row r="1300">
      <c r="A1300" s="1" t="s">
        <v>407</v>
      </c>
      <c r="B1300" s="1">
        <v>31.0</v>
      </c>
      <c r="C1300" s="1">
        <v>0.0</v>
      </c>
      <c r="D1300" s="1">
        <v>0.0</v>
      </c>
      <c r="E1300" s="1">
        <v>0.0</v>
      </c>
      <c r="F1300" s="1">
        <v>0.0</v>
      </c>
    </row>
    <row r="1301">
      <c r="A1301" s="1" t="s">
        <v>2006</v>
      </c>
      <c r="B1301" s="1">
        <v>74.0</v>
      </c>
      <c r="C1301" s="1">
        <v>0.0</v>
      </c>
      <c r="D1301" s="1">
        <v>0.0</v>
      </c>
      <c r="E1301" s="1">
        <v>0.0</v>
      </c>
      <c r="F1301" s="1">
        <v>0.0</v>
      </c>
    </row>
    <row r="1302">
      <c r="A1302" s="1" t="s">
        <v>242</v>
      </c>
      <c r="B1302" s="1">
        <v>10.0</v>
      </c>
      <c r="C1302" s="1">
        <v>0.0</v>
      </c>
      <c r="D1302" s="1">
        <v>0.0</v>
      </c>
      <c r="E1302" s="1">
        <v>0.0</v>
      </c>
      <c r="F1302" s="1">
        <v>0.0</v>
      </c>
    </row>
    <row r="1303">
      <c r="A1303" s="1" t="s">
        <v>1739</v>
      </c>
      <c r="B1303" s="1">
        <v>30.0</v>
      </c>
      <c r="C1303" s="1">
        <v>0.0</v>
      </c>
      <c r="D1303" s="1">
        <v>0.0</v>
      </c>
      <c r="E1303" s="1">
        <v>0.0</v>
      </c>
      <c r="F1303" s="1">
        <v>0.0</v>
      </c>
    </row>
    <row r="1304">
      <c r="A1304" s="1" t="s">
        <v>1959</v>
      </c>
      <c r="B1304" s="1">
        <v>87.0</v>
      </c>
      <c r="C1304" s="1">
        <v>0.0</v>
      </c>
      <c r="D1304" s="1">
        <v>0.0</v>
      </c>
      <c r="E1304" s="1">
        <v>0.0</v>
      </c>
      <c r="F1304" s="1">
        <v>0.0</v>
      </c>
    </row>
    <row r="1305">
      <c r="A1305" s="1" t="s">
        <v>740</v>
      </c>
      <c r="B1305" s="1">
        <v>200.0</v>
      </c>
      <c r="C1305" s="1">
        <v>1.0</v>
      </c>
      <c r="D1305" s="1">
        <v>0.0</v>
      </c>
      <c r="E1305" s="1">
        <v>0.0</v>
      </c>
      <c r="F1305" s="1">
        <v>0.0</v>
      </c>
    </row>
    <row r="1306">
      <c r="A1306" s="1" t="s">
        <v>393</v>
      </c>
      <c r="B1306" s="1">
        <v>59.0</v>
      </c>
      <c r="C1306" s="1">
        <v>0.0</v>
      </c>
      <c r="D1306" s="1">
        <v>0.0</v>
      </c>
      <c r="E1306" s="1">
        <v>0.0</v>
      </c>
      <c r="F1306" s="1">
        <v>0.0</v>
      </c>
    </row>
    <row r="1307">
      <c r="A1307" s="1" t="s">
        <v>2026</v>
      </c>
      <c r="B1307" s="1">
        <v>32.0</v>
      </c>
      <c r="C1307" s="1">
        <v>0.0</v>
      </c>
      <c r="D1307" s="1">
        <v>0.0</v>
      </c>
      <c r="E1307" s="1">
        <v>0.0</v>
      </c>
      <c r="F1307" s="1">
        <v>0.0</v>
      </c>
    </row>
    <row r="1308">
      <c r="A1308" s="1" t="s">
        <v>1538</v>
      </c>
      <c r="B1308" s="1">
        <v>28.0</v>
      </c>
      <c r="C1308" s="1">
        <v>0.0</v>
      </c>
      <c r="D1308" s="1">
        <v>0.0</v>
      </c>
      <c r="E1308" s="1">
        <v>0.0</v>
      </c>
      <c r="F1308" s="1">
        <v>0.0</v>
      </c>
    </row>
    <row r="1309">
      <c r="A1309" s="1" t="s">
        <v>2092</v>
      </c>
      <c r="B1309" s="1">
        <v>168.0</v>
      </c>
      <c r="C1309" s="1">
        <v>1.0</v>
      </c>
      <c r="D1309" s="1">
        <v>0.0</v>
      </c>
      <c r="E1309" s="1">
        <v>0.0</v>
      </c>
      <c r="F1309" s="1">
        <v>0.0</v>
      </c>
    </row>
    <row r="1310">
      <c r="A1310" s="1" t="s">
        <v>1283</v>
      </c>
      <c r="B1310" s="1">
        <v>22.0</v>
      </c>
      <c r="C1310" s="1">
        <v>0.0</v>
      </c>
      <c r="D1310" s="1">
        <v>0.0</v>
      </c>
      <c r="E1310" s="1">
        <v>0.0</v>
      </c>
      <c r="F1310" s="1">
        <v>0.0</v>
      </c>
    </row>
    <row r="1311">
      <c r="A1311" s="1" t="s">
        <v>1455</v>
      </c>
      <c r="B1311" s="1">
        <v>4.0</v>
      </c>
      <c r="C1311" s="1">
        <v>0.0</v>
      </c>
      <c r="D1311" s="1">
        <v>0.0</v>
      </c>
      <c r="E1311" s="1">
        <v>0.0</v>
      </c>
      <c r="F1311" s="1">
        <v>0.0</v>
      </c>
    </row>
    <row r="1312">
      <c r="A1312" s="1" t="s">
        <v>1574</v>
      </c>
      <c r="B1312" s="1">
        <v>34.0</v>
      </c>
      <c r="C1312" s="1">
        <v>0.0</v>
      </c>
      <c r="D1312" s="1">
        <v>0.0</v>
      </c>
      <c r="E1312" s="1">
        <v>0.0</v>
      </c>
      <c r="F1312" s="1">
        <v>0.0</v>
      </c>
    </row>
    <row r="1313">
      <c r="A1313" s="1" t="s">
        <v>718</v>
      </c>
      <c r="B1313" s="1">
        <v>14.0</v>
      </c>
      <c r="C1313" s="1">
        <v>0.0</v>
      </c>
      <c r="D1313" s="1">
        <v>0.0</v>
      </c>
      <c r="E1313" s="1">
        <v>0.0</v>
      </c>
      <c r="F1313" s="1">
        <v>0.0</v>
      </c>
    </row>
    <row r="1314">
      <c r="A1314" s="1" t="s">
        <v>1654</v>
      </c>
      <c r="B1314" s="1">
        <v>50.0</v>
      </c>
      <c r="C1314" s="1">
        <v>0.0</v>
      </c>
      <c r="D1314" s="1">
        <v>0.0</v>
      </c>
      <c r="E1314" s="1">
        <v>0.0</v>
      </c>
      <c r="F1314" s="1">
        <v>0.0</v>
      </c>
    </row>
    <row r="1315">
      <c r="A1315" s="1" t="s">
        <v>1350</v>
      </c>
      <c r="B1315" s="1">
        <v>66.0</v>
      </c>
      <c r="C1315" s="1">
        <v>0.0</v>
      </c>
      <c r="D1315" s="1">
        <v>0.0</v>
      </c>
      <c r="E1315" s="1">
        <v>0.0</v>
      </c>
      <c r="F1315" s="1">
        <v>0.0</v>
      </c>
    </row>
    <row r="1316">
      <c r="A1316" s="1" t="s">
        <v>2051</v>
      </c>
      <c r="B1316" s="1">
        <v>23.0</v>
      </c>
      <c r="C1316" s="1">
        <v>0.0</v>
      </c>
      <c r="D1316" s="1">
        <v>0.0</v>
      </c>
      <c r="E1316" s="1">
        <v>0.0</v>
      </c>
      <c r="F1316" s="1">
        <v>0.0</v>
      </c>
    </row>
    <row r="1317">
      <c r="A1317" s="1" t="s">
        <v>1816</v>
      </c>
      <c r="B1317" s="1">
        <v>47.0</v>
      </c>
      <c r="C1317" s="1">
        <v>0.0</v>
      </c>
      <c r="D1317" s="1">
        <v>0.0</v>
      </c>
      <c r="E1317" s="1">
        <v>0.0</v>
      </c>
      <c r="F1317" s="1">
        <v>0.0</v>
      </c>
    </row>
    <row r="1318">
      <c r="A1318" s="1" t="s">
        <v>1300</v>
      </c>
      <c r="B1318" s="1">
        <v>235.0</v>
      </c>
      <c r="C1318" s="1">
        <v>4.0</v>
      </c>
      <c r="D1318" s="1">
        <v>0.0</v>
      </c>
      <c r="E1318" s="1">
        <v>0.0</v>
      </c>
      <c r="F1318" s="1">
        <v>0.0</v>
      </c>
    </row>
    <row r="1319">
      <c r="A1319" s="1" t="s">
        <v>934</v>
      </c>
      <c r="B1319" s="1">
        <v>36.0</v>
      </c>
      <c r="C1319" s="1">
        <v>0.0</v>
      </c>
      <c r="D1319" s="1">
        <v>0.0</v>
      </c>
      <c r="E1319" s="1">
        <v>0.0</v>
      </c>
      <c r="F1319" s="1">
        <v>0.0</v>
      </c>
    </row>
    <row r="1320">
      <c r="A1320" s="1" t="s">
        <v>1735</v>
      </c>
      <c r="B1320" s="1">
        <v>66.0</v>
      </c>
      <c r="C1320" s="1">
        <v>0.0</v>
      </c>
      <c r="D1320" s="1">
        <v>0.0</v>
      </c>
      <c r="E1320" s="1">
        <v>0.0</v>
      </c>
      <c r="F1320" s="1">
        <v>0.0</v>
      </c>
    </row>
    <row r="1321">
      <c r="A1321" s="1" t="s">
        <v>992</v>
      </c>
      <c r="B1321" s="1">
        <v>51.0</v>
      </c>
      <c r="C1321" s="1">
        <v>0.0</v>
      </c>
      <c r="D1321" s="1">
        <v>0.0</v>
      </c>
      <c r="E1321" s="1">
        <v>0.0</v>
      </c>
      <c r="F1321" s="1">
        <v>0.0</v>
      </c>
    </row>
    <row r="1322">
      <c r="A1322" s="1" t="s">
        <v>2008</v>
      </c>
      <c r="B1322" s="1">
        <v>106.0</v>
      </c>
      <c r="C1322" s="1">
        <v>0.0</v>
      </c>
      <c r="D1322" s="1">
        <v>0.0</v>
      </c>
      <c r="E1322" s="1">
        <v>0.0</v>
      </c>
      <c r="F1322" s="1">
        <v>0.0</v>
      </c>
    </row>
    <row r="1323">
      <c r="A1323" s="1" t="s">
        <v>1595</v>
      </c>
      <c r="B1323" s="1">
        <v>73.0</v>
      </c>
      <c r="C1323" s="1">
        <v>0.0</v>
      </c>
      <c r="D1323" s="1">
        <v>0.0</v>
      </c>
      <c r="E1323" s="1">
        <v>0.0</v>
      </c>
      <c r="F1323" s="1">
        <v>0.0</v>
      </c>
    </row>
    <row r="1324">
      <c r="A1324" s="1" t="s">
        <v>1312</v>
      </c>
      <c r="B1324" s="1">
        <v>13.0</v>
      </c>
      <c r="C1324" s="1">
        <v>0.0</v>
      </c>
      <c r="D1324" s="1">
        <v>0.0</v>
      </c>
      <c r="E1324" s="1">
        <v>0.0</v>
      </c>
      <c r="F1324" s="1">
        <v>0.0</v>
      </c>
    </row>
    <row r="1325">
      <c r="A1325" s="1" t="s">
        <v>727</v>
      </c>
      <c r="B1325" s="1">
        <v>53.0</v>
      </c>
      <c r="C1325" s="1">
        <v>0.0</v>
      </c>
      <c r="D1325" s="1">
        <v>0.0</v>
      </c>
      <c r="E1325" s="1">
        <v>0.0</v>
      </c>
      <c r="F1325" s="1">
        <v>0.0</v>
      </c>
    </row>
    <row r="1326">
      <c r="A1326" s="1" t="s">
        <v>1016</v>
      </c>
      <c r="B1326" s="1">
        <v>47.0</v>
      </c>
      <c r="C1326" s="1">
        <v>0.0</v>
      </c>
      <c r="D1326" s="1">
        <v>0.0</v>
      </c>
      <c r="E1326" s="1">
        <v>0.0</v>
      </c>
      <c r="F1326" s="1">
        <v>0.0</v>
      </c>
    </row>
    <row r="1327">
      <c r="A1327" s="1" t="s">
        <v>556</v>
      </c>
      <c r="B1327" s="1">
        <v>11.0</v>
      </c>
      <c r="C1327" s="1">
        <v>0.0</v>
      </c>
      <c r="D1327" s="1">
        <v>0.0</v>
      </c>
      <c r="E1327" s="1">
        <v>0.0</v>
      </c>
      <c r="F1327" s="1">
        <v>0.0</v>
      </c>
    </row>
    <row r="1328">
      <c r="A1328" s="1" t="s">
        <v>630</v>
      </c>
      <c r="B1328" s="1">
        <v>55.0</v>
      </c>
      <c r="C1328" s="1">
        <v>0.0</v>
      </c>
      <c r="D1328" s="1">
        <v>0.0</v>
      </c>
      <c r="E1328" s="1">
        <v>0.0</v>
      </c>
      <c r="F1328" s="1">
        <v>0.0</v>
      </c>
    </row>
    <row r="1329">
      <c r="A1329" s="1" t="s">
        <v>2025</v>
      </c>
      <c r="B1329" s="1">
        <v>30.0</v>
      </c>
      <c r="C1329" s="1">
        <v>0.0</v>
      </c>
      <c r="D1329" s="1">
        <v>0.0</v>
      </c>
      <c r="E1329" s="1">
        <v>0.0</v>
      </c>
      <c r="F1329" s="1">
        <v>0.0</v>
      </c>
    </row>
    <row r="1330">
      <c r="A1330" s="1" t="s">
        <v>1506</v>
      </c>
      <c r="B1330" s="1">
        <v>62.0</v>
      </c>
      <c r="C1330" s="1">
        <v>0.0</v>
      </c>
      <c r="D1330" s="1">
        <v>0.0</v>
      </c>
      <c r="E1330" s="1">
        <v>0.0</v>
      </c>
      <c r="F1330" s="1">
        <v>0.0</v>
      </c>
    </row>
    <row r="1331">
      <c r="A1331" s="1" t="s">
        <v>1106</v>
      </c>
      <c r="B1331" s="1">
        <v>37.0</v>
      </c>
      <c r="C1331" s="1">
        <v>0.0</v>
      </c>
      <c r="D1331" s="1">
        <v>0.0</v>
      </c>
      <c r="E1331" s="1">
        <v>0.0</v>
      </c>
      <c r="F1331" s="1">
        <v>0.0</v>
      </c>
    </row>
    <row r="1332">
      <c r="A1332" s="1" t="s">
        <v>532</v>
      </c>
      <c r="B1332" s="1">
        <v>15.0</v>
      </c>
      <c r="C1332" s="1">
        <v>0.0</v>
      </c>
      <c r="D1332" s="1">
        <v>0.0</v>
      </c>
      <c r="E1332" s="1">
        <v>0.0</v>
      </c>
      <c r="F1332" s="1">
        <v>0.0</v>
      </c>
    </row>
    <row r="1333">
      <c r="A1333" s="1" t="s">
        <v>1362</v>
      </c>
      <c r="B1333" s="1">
        <v>98.0</v>
      </c>
      <c r="C1333" s="1">
        <v>0.0</v>
      </c>
      <c r="D1333" s="1">
        <v>0.0</v>
      </c>
      <c r="E1333" s="1">
        <v>0.0</v>
      </c>
      <c r="F1333" s="1">
        <v>0.0</v>
      </c>
    </row>
    <row r="1334">
      <c r="A1334" s="1" t="s">
        <v>541</v>
      </c>
      <c r="B1334" s="1">
        <v>192.0</v>
      </c>
      <c r="C1334" s="1">
        <v>1.0</v>
      </c>
      <c r="D1334" s="1">
        <v>0.0</v>
      </c>
      <c r="E1334" s="1">
        <v>0.0</v>
      </c>
      <c r="F1334" s="1">
        <v>0.0</v>
      </c>
    </row>
    <row r="1335">
      <c r="A1335" s="1" t="s">
        <v>783</v>
      </c>
      <c r="B1335" s="1">
        <v>10.0</v>
      </c>
      <c r="C1335" s="1">
        <v>0.0</v>
      </c>
      <c r="D1335" s="1">
        <v>0.0</v>
      </c>
      <c r="E1335" s="1">
        <v>0.0</v>
      </c>
      <c r="F1335" s="1">
        <v>0.0</v>
      </c>
    </row>
    <row r="1336">
      <c r="A1336" s="1" t="s">
        <v>500</v>
      </c>
      <c r="B1336" s="1">
        <v>65.0</v>
      </c>
      <c r="C1336" s="1">
        <v>0.0</v>
      </c>
      <c r="D1336" s="1">
        <v>0.0</v>
      </c>
      <c r="E1336" s="1">
        <v>0.0</v>
      </c>
      <c r="F1336" s="1">
        <v>0.0</v>
      </c>
    </row>
    <row r="1337">
      <c r="A1337" s="1" t="s">
        <v>665</v>
      </c>
      <c r="B1337" s="1">
        <v>24.0</v>
      </c>
      <c r="C1337" s="1">
        <v>0.0</v>
      </c>
      <c r="D1337" s="1">
        <v>0.0</v>
      </c>
      <c r="E1337" s="1">
        <v>0.0</v>
      </c>
      <c r="F1337" s="1">
        <v>0.0</v>
      </c>
    </row>
    <row r="1338">
      <c r="A1338" s="1" t="s">
        <v>883</v>
      </c>
      <c r="B1338" s="1">
        <v>186.0</v>
      </c>
      <c r="C1338" s="1">
        <v>0.0</v>
      </c>
      <c r="D1338" s="1">
        <v>0.0</v>
      </c>
      <c r="E1338" s="1">
        <v>0.0</v>
      </c>
      <c r="F1338" s="1">
        <v>0.0</v>
      </c>
    </row>
    <row r="1339">
      <c r="A1339" s="1" t="s">
        <v>779</v>
      </c>
      <c r="B1339" s="1">
        <v>12.0</v>
      </c>
      <c r="C1339" s="1">
        <v>0.0</v>
      </c>
      <c r="D1339" s="1">
        <v>0.0</v>
      </c>
      <c r="E1339" s="1">
        <v>0.0</v>
      </c>
      <c r="F1339" s="1">
        <v>0.0</v>
      </c>
    </row>
    <row r="1340">
      <c r="A1340" s="1" t="s">
        <v>1133</v>
      </c>
      <c r="B1340" s="1">
        <v>102.0</v>
      </c>
      <c r="C1340" s="1">
        <v>0.0</v>
      </c>
      <c r="D1340" s="1">
        <v>0.0</v>
      </c>
      <c r="E1340" s="1">
        <v>0.0</v>
      </c>
      <c r="F1340" s="1">
        <v>0.0</v>
      </c>
    </row>
    <row r="1341">
      <c r="A1341" s="1" t="s">
        <v>973</v>
      </c>
      <c r="B1341" s="1">
        <v>51.0</v>
      </c>
      <c r="C1341" s="1">
        <v>0.0</v>
      </c>
      <c r="D1341" s="1">
        <v>0.0</v>
      </c>
      <c r="E1341" s="1">
        <v>0.0</v>
      </c>
      <c r="F1341" s="1">
        <v>0.0</v>
      </c>
    </row>
    <row r="1342">
      <c r="A1342" s="1" t="s">
        <v>834</v>
      </c>
      <c r="B1342" s="1">
        <v>32.0</v>
      </c>
      <c r="C1342" s="1">
        <v>0.0</v>
      </c>
      <c r="D1342" s="1">
        <v>0.0</v>
      </c>
      <c r="E1342" s="1">
        <v>0.0</v>
      </c>
      <c r="F1342" s="1">
        <v>0.0</v>
      </c>
    </row>
    <row r="1343">
      <c r="A1343" s="1" t="s">
        <v>826</v>
      </c>
      <c r="B1343" s="1">
        <v>42.0</v>
      </c>
      <c r="C1343" s="1">
        <v>0.0</v>
      </c>
      <c r="D1343" s="1">
        <v>0.0</v>
      </c>
      <c r="E1343" s="1">
        <v>0.0</v>
      </c>
      <c r="F1343" s="1">
        <v>0.0</v>
      </c>
    </row>
    <row r="1344">
      <c r="A1344" s="1" t="s">
        <v>1698</v>
      </c>
      <c r="B1344" s="1">
        <v>126.0</v>
      </c>
      <c r="C1344" s="1">
        <v>0.0</v>
      </c>
      <c r="D1344" s="1">
        <v>0.0</v>
      </c>
      <c r="E1344" s="1">
        <v>0.0</v>
      </c>
      <c r="F1344" s="1">
        <v>0.0</v>
      </c>
    </row>
    <row r="1345">
      <c r="A1345" s="1" t="s">
        <v>752</v>
      </c>
      <c r="B1345" s="1">
        <v>27.0</v>
      </c>
      <c r="C1345" s="1">
        <v>0.0</v>
      </c>
      <c r="D1345" s="1">
        <v>0.0</v>
      </c>
      <c r="E1345" s="1">
        <v>0.0</v>
      </c>
      <c r="F1345" s="1">
        <v>0.0</v>
      </c>
    </row>
    <row r="1346">
      <c r="A1346" s="1" t="s">
        <v>1707</v>
      </c>
      <c r="B1346" s="1">
        <v>4.0</v>
      </c>
      <c r="C1346" s="1">
        <v>0.0</v>
      </c>
      <c r="D1346" s="1">
        <v>0.0</v>
      </c>
      <c r="E1346" s="1">
        <v>0.0</v>
      </c>
      <c r="F1346" s="1">
        <v>0.0</v>
      </c>
    </row>
    <row r="1347">
      <c r="A1347" s="1" t="s">
        <v>605</v>
      </c>
      <c r="B1347" s="1">
        <v>34.0</v>
      </c>
      <c r="C1347" s="1">
        <v>0.0</v>
      </c>
      <c r="D1347" s="1">
        <v>0.0</v>
      </c>
      <c r="E1347" s="1">
        <v>0.0</v>
      </c>
      <c r="F1347" s="1">
        <v>0.0</v>
      </c>
    </row>
    <row r="1348">
      <c r="A1348" s="1" t="s">
        <v>813</v>
      </c>
      <c r="B1348" s="1">
        <v>105.0</v>
      </c>
      <c r="C1348" s="1">
        <v>0.0</v>
      </c>
      <c r="D1348" s="1">
        <v>0.0</v>
      </c>
      <c r="E1348" s="1">
        <v>0.0</v>
      </c>
      <c r="F1348" s="1">
        <v>0.0</v>
      </c>
    </row>
    <row r="1349">
      <c r="A1349" s="1" t="s">
        <v>2047</v>
      </c>
      <c r="B1349" s="1">
        <v>79.0</v>
      </c>
      <c r="C1349" s="1">
        <v>0.0</v>
      </c>
      <c r="D1349" s="1">
        <v>0.0</v>
      </c>
      <c r="E1349" s="1">
        <v>0.0</v>
      </c>
      <c r="F1349" s="1">
        <v>0.0</v>
      </c>
    </row>
    <row r="1350">
      <c r="A1350" s="1" t="s">
        <v>1211</v>
      </c>
      <c r="B1350" s="1">
        <v>5.0</v>
      </c>
      <c r="C1350" s="1">
        <v>0.0</v>
      </c>
      <c r="D1350" s="1">
        <v>0.0</v>
      </c>
      <c r="E1350" s="1">
        <v>0.0</v>
      </c>
      <c r="F1350" s="1">
        <v>0.0</v>
      </c>
    </row>
    <row r="1351">
      <c r="A1351" s="1" t="s">
        <v>1056</v>
      </c>
      <c r="B1351" s="1">
        <v>21.0</v>
      </c>
      <c r="C1351" s="1">
        <v>0.0</v>
      </c>
      <c r="D1351" s="1">
        <v>0.0</v>
      </c>
      <c r="E1351" s="1">
        <v>0.0</v>
      </c>
      <c r="F1351" s="1">
        <v>0.0</v>
      </c>
    </row>
    <row r="1352">
      <c r="A1352" s="1" t="s">
        <v>552</v>
      </c>
      <c r="B1352" s="1">
        <v>97.0</v>
      </c>
      <c r="C1352" s="1">
        <v>0.0</v>
      </c>
      <c r="D1352" s="1">
        <v>0.0</v>
      </c>
      <c r="E1352" s="1">
        <v>0.0</v>
      </c>
      <c r="F1352" s="1">
        <v>0.0</v>
      </c>
    </row>
    <row r="1353">
      <c r="A1353" s="1" t="s">
        <v>1172</v>
      </c>
      <c r="B1353" s="1">
        <v>71.0</v>
      </c>
      <c r="C1353" s="1">
        <v>0.0</v>
      </c>
      <c r="D1353" s="1">
        <v>0.0</v>
      </c>
      <c r="E1353" s="1">
        <v>0.0</v>
      </c>
      <c r="F1353" s="1">
        <v>0.0</v>
      </c>
    </row>
    <row r="1354">
      <c r="A1354" s="1" t="s">
        <v>1839</v>
      </c>
      <c r="B1354" s="1">
        <v>105.0</v>
      </c>
      <c r="C1354" s="1">
        <v>0.0</v>
      </c>
      <c r="D1354" s="1">
        <v>0.0</v>
      </c>
      <c r="E1354" s="1">
        <v>0.0</v>
      </c>
      <c r="F1354" s="1">
        <v>0.0</v>
      </c>
    </row>
    <row r="1355">
      <c r="A1355" s="1" t="s">
        <v>1473</v>
      </c>
      <c r="B1355" s="1">
        <v>16.0</v>
      </c>
      <c r="C1355" s="1">
        <v>0.0</v>
      </c>
      <c r="D1355" s="1">
        <v>0.0</v>
      </c>
      <c r="E1355" s="1">
        <v>0.0</v>
      </c>
      <c r="F1355" s="1">
        <v>0.0</v>
      </c>
    </row>
    <row r="1356">
      <c r="A1356" s="1" t="s">
        <v>1085</v>
      </c>
      <c r="B1356" s="1">
        <v>244.0</v>
      </c>
      <c r="C1356" s="1">
        <v>2.0</v>
      </c>
      <c r="D1356" s="1">
        <v>0.0</v>
      </c>
      <c r="E1356" s="1">
        <v>0.0</v>
      </c>
      <c r="F1356" s="1">
        <v>0.0</v>
      </c>
    </row>
    <row r="1357">
      <c r="A1357" s="1" t="s">
        <v>1273</v>
      </c>
      <c r="B1357" s="1">
        <v>14.0</v>
      </c>
      <c r="C1357" s="1">
        <v>0.0</v>
      </c>
      <c r="D1357" s="1">
        <v>0.0</v>
      </c>
      <c r="E1357" s="1">
        <v>0.0</v>
      </c>
      <c r="F1357" s="1">
        <v>0.0</v>
      </c>
    </row>
    <row r="1358">
      <c r="A1358" s="1" t="s">
        <v>572</v>
      </c>
      <c r="B1358" s="1">
        <v>68.0</v>
      </c>
      <c r="C1358" s="1">
        <v>0.0</v>
      </c>
      <c r="D1358" s="1">
        <v>0.0</v>
      </c>
      <c r="E1358" s="1">
        <v>0.0</v>
      </c>
      <c r="F1358" s="1">
        <v>0.0</v>
      </c>
    </row>
    <row r="1359">
      <c r="A1359" s="1" t="s">
        <v>1656</v>
      </c>
      <c r="B1359" s="1">
        <v>15.0</v>
      </c>
      <c r="C1359" s="1">
        <v>0.0</v>
      </c>
      <c r="D1359" s="1">
        <v>0.0</v>
      </c>
      <c r="E1359" s="1">
        <v>0.0</v>
      </c>
      <c r="F1359" s="1">
        <v>0.0</v>
      </c>
    </row>
    <row r="1360">
      <c r="A1360" s="1" t="s">
        <v>1992</v>
      </c>
      <c r="B1360" s="1">
        <v>47.0</v>
      </c>
      <c r="C1360" s="1">
        <v>0.0</v>
      </c>
      <c r="D1360" s="1">
        <v>0.0</v>
      </c>
      <c r="E1360" s="1">
        <v>0.0</v>
      </c>
      <c r="F1360" s="1">
        <v>0.0</v>
      </c>
    </row>
    <row r="1361">
      <c r="A1361" s="1" t="s">
        <v>354</v>
      </c>
      <c r="B1361" s="1">
        <v>15.0</v>
      </c>
      <c r="C1361" s="1">
        <v>0.0</v>
      </c>
      <c r="D1361" s="1">
        <v>0.0</v>
      </c>
      <c r="E1361" s="1">
        <v>0.0</v>
      </c>
      <c r="F1361" s="1">
        <v>0.0</v>
      </c>
    </row>
    <row r="1362">
      <c r="A1362" s="1" t="s">
        <v>487</v>
      </c>
      <c r="B1362" s="1">
        <v>65.0</v>
      </c>
      <c r="C1362" s="1">
        <v>0.0</v>
      </c>
      <c r="D1362" s="1">
        <v>0.0</v>
      </c>
      <c r="E1362" s="1">
        <v>0.0</v>
      </c>
      <c r="F1362" s="1">
        <v>0.0</v>
      </c>
    </row>
    <row r="1363">
      <c r="A1363" s="1" t="s">
        <v>432</v>
      </c>
      <c r="B1363" s="1">
        <v>62.0</v>
      </c>
      <c r="C1363" s="1">
        <v>0.0</v>
      </c>
      <c r="D1363" s="1">
        <v>0.0</v>
      </c>
      <c r="E1363" s="1">
        <v>0.0</v>
      </c>
      <c r="F1363" s="1">
        <v>0.0</v>
      </c>
    </row>
    <row r="1364">
      <c r="A1364" s="1" t="s">
        <v>1416</v>
      </c>
      <c r="B1364" s="1">
        <v>38.0</v>
      </c>
      <c r="C1364" s="1">
        <v>0.0</v>
      </c>
      <c r="D1364" s="1">
        <v>0.0</v>
      </c>
      <c r="E1364" s="1">
        <v>0.0</v>
      </c>
      <c r="F1364" s="1">
        <v>0.0</v>
      </c>
    </row>
    <row r="1365">
      <c r="A1365" s="1" t="s">
        <v>1379</v>
      </c>
      <c r="B1365" s="1">
        <v>23.0</v>
      </c>
      <c r="C1365" s="1">
        <v>0.0</v>
      </c>
      <c r="D1365" s="1">
        <v>0.0</v>
      </c>
      <c r="E1365" s="1">
        <v>0.0</v>
      </c>
      <c r="F1365" s="1">
        <v>0.0</v>
      </c>
    </row>
    <row r="1366">
      <c r="A1366" s="1" t="s">
        <v>503</v>
      </c>
      <c r="B1366" s="1">
        <v>28.0</v>
      </c>
      <c r="C1366" s="1">
        <v>0.0</v>
      </c>
      <c r="D1366" s="1">
        <v>0.0</v>
      </c>
      <c r="E1366" s="1">
        <v>0.0</v>
      </c>
      <c r="F1366" s="1">
        <v>0.0</v>
      </c>
    </row>
    <row r="1367">
      <c r="A1367" s="1" t="s">
        <v>392</v>
      </c>
      <c r="B1367" s="1">
        <v>35.0</v>
      </c>
      <c r="C1367" s="1">
        <v>0.0</v>
      </c>
      <c r="D1367" s="1">
        <v>0.0</v>
      </c>
      <c r="E1367" s="1">
        <v>0.0</v>
      </c>
      <c r="F1367" s="1">
        <v>0.0</v>
      </c>
    </row>
    <row r="1368">
      <c r="A1368" s="1" t="s">
        <v>477</v>
      </c>
      <c r="B1368" s="1">
        <v>14.0</v>
      </c>
      <c r="C1368" s="1">
        <v>0.0</v>
      </c>
      <c r="D1368" s="1">
        <v>0.0</v>
      </c>
      <c r="E1368" s="1">
        <v>0.0</v>
      </c>
      <c r="F1368" s="1">
        <v>0.0</v>
      </c>
    </row>
    <row r="1369">
      <c r="A1369" s="1" t="s">
        <v>853</v>
      </c>
      <c r="B1369" s="1">
        <v>17.0</v>
      </c>
      <c r="C1369" s="1">
        <v>0.0</v>
      </c>
      <c r="D1369" s="1">
        <v>0.0</v>
      </c>
      <c r="E1369" s="1">
        <v>0.0</v>
      </c>
      <c r="F1369" s="1">
        <v>0.0</v>
      </c>
    </row>
    <row r="1370">
      <c r="A1370" s="1" t="s">
        <v>601</v>
      </c>
      <c r="B1370" s="1">
        <v>33.0</v>
      </c>
      <c r="C1370" s="1">
        <v>0.0</v>
      </c>
      <c r="D1370" s="1">
        <v>0.0</v>
      </c>
      <c r="E1370" s="1">
        <v>0.0</v>
      </c>
      <c r="F1370" s="1">
        <v>0.0</v>
      </c>
    </row>
    <row r="1371">
      <c r="A1371" s="1" t="s">
        <v>780</v>
      </c>
      <c r="B1371" s="1">
        <v>5.0</v>
      </c>
      <c r="C1371" s="1">
        <v>0.0</v>
      </c>
      <c r="D1371" s="1">
        <v>0.0</v>
      </c>
      <c r="E1371" s="1">
        <v>0.0</v>
      </c>
      <c r="F1371" s="1">
        <v>0.0</v>
      </c>
    </row>
    <row r="1372">
      <c r="A1372" s="1" t="s">
        <v>343</v>
      </c>
      <c r="B1372" s="1">
        <v>36.0</v>
      </c>
      <c r="C1372" s="1">
        <v>0.0</v>
      </c>
      <c r="D1372" s="1">
        <v>0.0</v>
      </c>
      <c r="E1372" s="1">
        <v>0.0</v>
      </c>
      <c r="F1372" s="1">
        <v>0.0</v>
      </c>
    </row>
    <row r="1373">
      <c r="A1373" s="1" t="s">
        <v>1805</v>
      </c>
      <c r="B1373" s="1">
        <v>133.0</v>
      </c>
      <c r="C1373" s="1">
        <v>0.0</v>
      </c>
      <c r="D1373" s="1">
        <v>0.0</v>
      </c>
      <c r="E1373" s="1">
        <v>0.0</v>
      </c>
      <c r="F1373" s="1">
        <v>0.0</v>
      </c>
    </row>
    <row r="1374">
      <c r="A1374" s="1" t="s">
        <v>2021</v>
      </c>
      <c r="B1374" s="1">
        <v>55.0</v>
      </c>
      <c r="C1374" s="1">
        <v>0.0</v>
      </c>
      <c r="D1374" s="1">
        <v>0.0</v>
      </c>
      <c r="E1374" s="1">
        <v>0.0</v>
      </c>
      <c r="F1374" s="1">
        <v>0.0</v>
      </c>
    </row>
    <row r="1375">
      <c r="A1375" s="1" t="s">
        <v>1097</v>
      </c>
      <c r="B1375" s="1">
        <v>16.0</v>
      </c>
      <c r="C1375" s="1">
        <v>0.0</v>
      </c>
      <c r="D1375" s="1">
        <v>0.0</v>
      </c>
      <c r="E1375" s="1">
        <v>0.0</v>
      </c>
      <c r="F1375" s="1">
        <v>0.0</v>
      </c>
    </row>
    <row r="1376">
      <c r="A1376" s="1" t="s">
        <v>245</v>
      </c>
      <c r="B1376" s="1">
        <v>13.0</v>
      </c>
      <c r="C1376" s="1">
        <v>0.0</v>
      </c>
      <c r="D1376" s="1">
        <v>0.0</v>
      </c>
      <c r="E1376" s="1">
        <v>0.0</v>
      </c>
      <c r="F1376" s="1">
        <v>0.0</v>
      </c>
    </row>
    <row r="1377">
      <c r="A1377" s="1" t="s">
        <v>1691</v>
      </c>
      <c r="B1377" s="1">
        <v>23.0</v>
      </c>
      <c r="C1377" s="1">
        <v>0.0</v>
      </c>
      <c r="D1377" s="1">
        <v>0.0</v>
      </c>
      <c r="E1377" s="1">
        <v>0.0</v>
      </c>
      <c r="F1377" s="1">
        <v>0.0</v>
      </c>
    </row>
    <row r="1378">
      <c r="A1378" s="1" t="s">
        <v>1210</v>
      </c>
      <c r="B1378" s="1">
        <v>29.0</v>
      </c>
      <c r="C1378" s="1">
        <v>0.0</v>
      </c>
      <c r="D1378" s="1">
        <v>0.0</v>
      </c>
      <c r="E1378" s="1">
        <v>0.0</v>
      </c>
      <c r="F1378" s="1">
        <v>0.0</v>
      </c>
    </row>
    <row r="1379">
      <c r="A1379" s="1" t="s">
        <v>469</v>
      </c>
      <c r="B1379" s="1">
        <v>47.0</v>
      </c>
      <c r="C1379" s="1">
        <v>0.0</v>
      </c>
      <c r="D1379" s="1">
        <v>0.0</v>
      </c>
      <c r="E1379" s="1">
        <v>0.0</v>
      </c>
      <c r="F1379" s="1">
        <v>0.0</v>
      </c>
    </row>
    <row r="1380">
      <c r="A1380" s="1" t="s">
        <v>637</v>
      </c>
      <c r="B1380" s="1">
        <v>87.0</v>
      </c>
      <c r="C1380" s="1">
        <v>0.0</v>
      </c>
      <c r="D1380" s="1">
        <v>0.0</v>
      </c>
      <c r="E1380" s="1">
        <v>0.0</v>
      </c>
      <c r="F1380" s="1">
        <v>0.0</v>
      </c>
    </row>
    <row r="1381">
      <c r="A1381" s="1" t="s">
        <v>2050</v>
      </c>
      <c r="B1381" s="1">
        <v>5.0</v>
      </c>
      <c r="C1381" s="1">
        <v>0.0</v>
      </c>
      <c r="D1381" s="1">
        <v>0.0</v>
      </c>
      <c r="E1381" s="1">
        <v>0.0</v>
      </c>
      <c r="F1381" s="1">
        <v>0.0</v>
      </c>
    </row>
    <row r="1382">
      <c r="A1382" s="1" t="s">
        <v>1376</v>
      </c>
      <c r="B1382" s="1">
        <v>37.0</v>
      </c>
      <c r="C1382" s="1">
        <v>0.0</v>
      </c>
      <c r="D1382" s="1">
        <v>0.0</v>
      </c>
      <c r="E1382" s="1">
        <v>0.0</v>
      </c>
      <c r="F1382" s="1">
        <v>0.0</v>
      </c>
    </row>
    <row r="1383">
      <c r="A1383" s="1" t="s">
        <v>1532</v>
      </c>
      <c r="B1383" s="1">
        <v>23.0</v>
      </c>
      <c r="C1383" s="1">
        <v>0.0</v>
      </c>
      <c r="D1383" s="1">
        <v>0.0</v>
      </c>
      <c r="E1383" s="1">
        <v>0.0</v>
      </c>
      <c r="F1383" s="1">
        <v>0.0</v>
      </c>
    </row>
    <row r="1384">
      <c r="A1384" s="1" t="s">
        <v>964</v>
      </c>
      <c r="B1384" s="1">
        <v>36.0</v>
      </c>
      <c r="C1384" s="1">
        <v>0.0</v>
      </c>
      <c r="D1384" s="1">
        <v>0.0</v>
      </c>
      <c r="E1384" s="1">
        <v>0.0</v>
      </c>
      <c r="F1384" s="1">
        <v>0.0</v>
      </c>
    </row>
    <row r="1385">
      <c r="A1385" s="1" t="s">
        <v>1291</v>
      </c>
      <c r="B1385" s="1">
        <v>25.0</v>
      </c>
      <c r="C1385" s="1">
        <v>0.0</v>
      </c>
      <c r="D1385" s="1">
        <v>0.0</v>
      </c>
      <c r="E1385" s="1">
        <v>0.0</v>
      </c>
      <c r="F1385" s="1">
        <v>0.0</v>
      </c>
    </row>
    <row r="1386">
      <c r="A1386" s="1" t="s">
        <v>204</v>
      </c>
      <c r="B1386" s="1">
        <v>11.0</v>
      </c>
      <c r="C1386" s="1">
        <v>0.0</v>
      </c>
      <c r="D1386" s="1">
        <v>0.0</v>
      </c>
      <c r="E1386" s="1">
        <v>0.0</v>
      </c>
      <c r="F1386" s="1">
        <v>0.0</v>
      </c>
    </row>
    <row r="1387">
      <c r="A1387" s="1" t="s">
        <v>1901</v>
      </c>
      <c r="B1387" s="1">
        <v>19.0</v>
      </c>
      <c r="C1387" s="1">
        <v>0.0</v>
      </c>
      <c r="D1387" s="1">
        <v>0.0</v>
      </c>
      <c r="E1387" s="1">
        <v>0.0</v>
      </c>
      <c r="F1387" s="1">
        <v>0.0</v>
      </c>
    </row>
    <row r="1388">
      <c r="A1388" s="1" t="s">
        <v>396</v>
      </c>
      <c r="B1388" s="1">
        <v>21.0</v>
      </c>
      <c r="C1388" s="1">
        <v>0.0</v>
      </c>
      <c r="D1388" s="1">
        <v>0.0</v>
      </c>
      <c r="E1388" s="1">
        <v>0.0</v>
      </c>
      <c r="F1388" s="1">
        <v>0.0</v>
      </c>
    </row>
    <row r="1389">
      <c r="A1389" s="1" t="s">
        <v>1027</v>
      </c>
      <c r="B1389" s="1">
        <v>34.0</v>
      </c>
      <c r="C1389" s="1">
        <v>0.0</v>
      </c>
      <c r="D1389" s="1">
        <v>0.0</v>
      </c>
      <c r="E1389" s="1">
        <v>0.0</v>
      </c>
      <c r="F1389" s="1">
        <v>0.0</v>
      </c>
    </row>
    <row r="1390">
      <c r="A1390" s="1" t="s">
        <v>1075</v>
      </c>
      <c r="B1390" s="1">
        <v>78.0</v>
      </c>
      <c r="C1390" s="1">
        <v>0.0</v>
      </c>
      <c r="D1390" s="1">
        <v>0.0</v>
      </c>
      <c r="E1390" s="1">
        <v>0.0</v>
      </c>
      <c r="F1390" s="1">
        <v>0.0</v>
      </c>
    </row>
    <row r="1391">
      <c r="A1391" s="1" t="s">
        <v>470</v>
      </c>
      <c r="B1391" s="1">
        <v>13.0</v>
      </c>
      <c r="C1391" s="1">
        <v>0.0</v>
      </c>
      <c r="D1391" s="1">
        <v>0.0</v>
      </c>
      <c r="E1391" s="1">
        <v>0.0</v>
      </c>
      <c r="F1391" s="1">
        <v>0.0</v>
      </c>
    </row>
    <row r="1392">
      <c r="A1392" s="1" t="s">
        <v>457</v>
      </c>
      <c r="B1392" s="1">
        <v>27.0</v>
      </c>
      <c r="C1392" s="1">
        <v>0.0</v>
      </c>
      <c r="D1392" s="1">
        <v>0.0</v>
      </c>
      <c r="E1392" s="1">
        <v>0.0</v>
      </c>
      <c r="F1392" s="1">
        <v>0.0</v>
      </c>
    </row>
    <row r="1393">
      <c r="A1393" s="1" t="s">
        <v>1457</v>
      </c>
      <c r="B1393" s="1">
        <v>7.0</v>
      </c>
      <c r="C1393" s="1">
        <v>0.0</v>
      </c>
      <c r="D1393" s="1">
        <v>0.0</v>
      </c>
      <c r="E1393" s="1">
        <v>0.0</v>
      </c>
      <c r="F1393" s="1">
        <v>0.0</v>
      </c>
    </row>
    <row r="1394">
      <c r="A1394" s="1" t="s">
        <v>490</v>
      </c>
      <c r="B1394" s="1">
        <v>29.0</v>
      </c>
      <c r="C1394" s="1">
        <v>0.0</v>
      </c>
      <c r="D1394" s="1">
        <v>0.0</v>
      </c>
      <c r="E1394" s="1">
        <v>0.0</v>
      </c>
      <c r="F1394" s="1">
        <v>0.0</v>
      </c>
    </row>
    <row r="1395">
      <c r="A1395" s="1" t="s">
        <v>218</v>
      </c>
      <c r="B1395" s="1">
        <v>5.0</v>
      </c>
      <c r="C1395" s="1">
        <v>0.0</v>
      </c>
      <c r="D1395" s="1">
        <v>0.0</v>
      </c>
      <c r="E1395" s="1">
        <v>0.0</v>
      </c>
      <c r="F1395" s="1">
        <v>0.0</v>
      </c>
    </row>
    <row r="1396">
      <c r="A1396" s="1" t="s">
        <v>1576</v>
      </c>
      <c r="B1396" s="1">
        <v>110.0</v>
      </c>
      <c r="C1396" s="1">
        <v>0.0</v>
      </c>
      <c r="D1396" s="1">
        <v>0.0</v>
      </c>
      <c r="E1396" s="1">
        <v>0.0</v>
      </c>
      <c r="F1396" s="1">
        <v>0.0</v>
      </c>
    </row>
    <row r="1397">
      <c r="A1397" s="1" t="s">
        <v>1183</v>
      </c>
      <c r="B1397" s="1">
        <v>92.0</v>
      </c>
      <c r="C1397" s="1">
        <v>0.0</v>
      </c>
      <c r="D1397" s="1">
        <v>0.0</v>
      </c>
      <c r="E1397" s="1">
        <v>0.0</v>
      </c>
      <c r="F1397" s="1">
        <v>0.0</v>
      </c>
    </row>
    <row r="1398">
      <c r="A1398" s="1" t="s">
        <v>929</v>
      </c>
      <c r="B1398" s="1">
        <v>38.0</v>
      </c>
      <c r="C1398" s="1">
        <v>0.0</v>
      </c>
      <c r="D1398" s="1">
        <v>0.0</v>
      </c>
      <c r="E1398" s="1">
        <v>0.0</v>
      </c>
      <c r="F1398" s="1">
        <v>0.0</v>
      </c>
    </row>
    <row r="1399">
      <c r="A1399" s="1" t="s">
        <v>511</v>
      </c>
      <c r="B1399" s="1">
        <v>30.0</v>
      </c>
      <c r="C1399" s="1">
        <v>0.0</v>
      </c>
      <c r="D1399" s="1">
        <v>0.0</v>
      </c>
      <c r="E1399" s="1">
        <v>0.0</v>
      </c>
      <c r="F1399" s="1">
        <v>0.0</v>
      </c>
    </row>
    <row r="1400">
      <c r="A1400" s="1" t="s">
        <v>1599</v>
      </c>
      <c r="B1400" s="1">
        <v>22.0</v>
      </c>
      <c r="C1400" s="1">
        <v>0.0</v>
      </c>
      <c r="D1400" s="1">
        <v>0.0</v>
      </c>
      <c r="E1400" s="1">
        <v>0.0</v>
      </c>
      <c r="F1400" s="1">
        <v>0.0</v>
      </c>
    </row>
    <row r="1401">
      <c r="A1401" s="1" t="s">
        <v>1207</v>
      </c>
      <c r="B1401" s="1">
        <v>25.0</v>
      </c>
      <c r="C1401" s="1">
        <v>0.0</v>
      </c>
      <c r="D1401" s="1">
        <v>0.0</v>
      </c>
      <c r="E1401" s="1">
        <v>0.0</v>
      </c>
      <c r="F1401" s="1">
        <v>0.0</v>
      </c>
    </row>
    <row r="1402">
      <c r="A1402" s="1" t="s">
        <v>1275</v>
      </c>
      <c r="B1402" s="1">
        <v>37.0</v>
      </c>
      <c r="C1402" s="1">
        <v>0.0</v>
      </c>
      <c r="D1402" s="1">
        <v>0.0</v>
      </c>
      <c r="E1402" s="1">
        <v>0.0</v>
      </c>
      <c r="F1402" s="1">
        <v>0.0</v>
      </c>
    </row>
    <row r="1403">
      <c r="A1403" s="1" t="s">
        <v>1001</v>
      </c>
      <c r="B1403" s="1">
        <v>44.0</v>
      </c>
      <c r="C1403" s="1">
        <v>0.0</v>
      </c>
      <c r="D1403" s="1">
        <v>0.0</v>
      </c>
      <c r="E1403" s="1">
        <v>0.0</v>
      </c>
      <c r="F1403" s="1">
        <v>0.0</v>
      </c>
    </row>
    <row r="1404">
      <c r="A1404" s="1" t="s">
        <v>1045</v>
      </c>
      <c r="B1404" s="1">
        <v>32.0</v>
      </c>
      <c r="C1404" s="1">
        <v>0.0</v>
      </c>
      <c r="D1404" s="1">
        <v>0.0</v>
      </c>
      <c r="E1404" s="1">
        <v>0.0</v>
      </c>
      <c r="F1404" s="1">
        <v>0.0</v>
      </c>
    </row>
    <row r="1405">
      <c r="A1405" s="1" t="s">
        <v>1118</v>
      </c>
      <c r="B1405" s="1">
        <v>69.0</v>
      </c>
      <c r="C1405" s="1">
        <v>0.0</v>
      </c>
      <c r="D1405" s="1">
        <v>0.0</v>
      </c>
      <c r="E1405" s="1">
        <v>0.0</v>
      </c>
      <c r="F1405" s="1">
        <v>0.0</v>
      </c>
    </row>
    <row r="1406">
      <c r="A1406" s="1" t="s">
        <v>1542</v>
      </c>
      <c r="B1406" s="1">
        <v>72.0</v>
      </c>
      <c r="C1406" s="1">
        <v>0.0</v>
      </c>
      <c r="D1406" s="1">
        <v>0.0</v>
      </c>
      <c r="E1406" s="1">
        <v>0.0</v>
      </c>
      <c r="F1406" s="1">
        <v>0.0</v>
      </c>
    </row>
    <row r="1407">
      <c r="A1407" s="1" t="s">
        <v>528</v>
      </c>
      <c r="B1407" s="1">
        <v>40.0</v>
      </c>
      <c r="C1407" s="1">
        <v>0.0</v>
      </c>
      <c r="D1407" s="1">
        <v>0.0</v>
      </c>
      <c r="E1407" s="1">
        <v>0.0</v>
      </c>
      <c r="F1407" s="1">
        <v>0.0</v>
      </c>
    </row>
    <row r="1408">
      <c r="A1408" s="1" t="s">
        <v>1309</v>
      </c>
      <c r="B1408" s="1">
        <v>40.0</v>
      </c>
      <c r="C1408" s="1">
        <v>0.0</v>
      </c>
      <c r="D1408" s="1">
        <v>0.0</v>
      </c>
      <c r="E1408" s="1">
        <v>0.0</v>
      </c>
      <c r="F1408" s="1">
        <v>0.0</v>
      </c>
    </row>
    <row r="1409">
      <c r="A1409" s="1" t="s">
        <v>483</v>
      </c>
      <c r="B1409" s="1">
        <v>39.0</v>
      </c>
      <c r="C1409" s="1">
        <v>0.0</v>
      </c>
      <c r="D1409" s="1">
        <v>0.0</v>
      </c>
      <c r="E1409" s="1">
        <v>0.0</v>
      </c>
      <c r="F1409" s="1">
        <v>0.0</v>
      </c>
    </row>
    <row r="1410">
      <c r="A1410" s="1" t="s">
        <v>682</v>
      </c>
      <c r="B1410" s="1">
        <v>110.0</v>
      </c>
      <c r="C1410" s="1">
        <v>0.0</v>
      </c>
      <c r="D1410" s="1">
        <v>0.0</v>
      </c>
      <c r="E1410" s="1">
        <v>0.0</v>
      </c>
      <c r="F1410" s="1">
        <v>0.0</v>
      </c>
    </row>
    <row r="1411">
      <c r="A1411" s="1" t="s">
        <v>809</v>
      </c>
      <c r="B1411" s="1">
        <v>36.0</v>
      </c>
      <c r="C1411" s="1">
        <v>0.0</v>
      </c>
      <c r="D1411" s="1">
        <v>0.0</v>
      </c>
      <c r="E1411" s="1">
        <v>0.0</v>
      </c>
      <c r="F1411" s="1">
        <v>0.0</v>
      </c>
    </row>
    <row r="1412">
      <c r="A1412" s="1" t="s">
        <v>873</v>
      </c>
      <c r="B1412" s="1">
        <v>17.0</v>
      </c>
      <c r="C1412" s="1">
        <v>0.0</v>
      </c>
      <c r="D1412" s="1">
        <v>0.0</v>
      </c>
      <c r="E1412" s="1">
        <v>0.0</v>
      </c>
      <c r="F1412" s="1">
        <v>0.0</v>
      </c>
    </row>
    <row r="1413">
      <c r="A1413" s="1" t="s">
        <v>244</v>
      </c>
      <c r="B1413" s="1">
        <v>40.0</v>
      </c>
      <c r="C1413" s="1">
        <v>0.0</v>
      </c>
      <c r="D1413" s="1">
        <v>0.0</v>
      </c>
      <c r="E1413" s="1">
        <v>0.0</v>
      </c>
      <c r="F1413" s="1">
        <v>0.0</v>
      </c>
    </row>
    <row r="1414">
      <c r="A1414" s="1" t="s">
        <v>808</v>
      </c>
      <c r="B1414" s="1">
        <v>78.0</v>
      </c>
      <c r="C1414" s="1">
        <v>0.0</v>
      </c>
      <c r="D1414" s="1">
        <v>0.0</v>
      </c>
      <c r="E1414" s="1">
        <v>0.0</v>
      </c>
      <c r="F1414" s="1">
        <v>0.0</v>
      </c>
    </row>
    <row r="1415">
      <c r="A1415" s="1" t="s">
        <v>1071</v>
      </c>
      <c r="B1415" s="1">
        <v>27.0</v>
      </c>
      <c r="C1415" s="1">
        <v>0.0</v>
      </c>
      <c r="D1415" s="1">
        <v>0.0</v>
      </c>
      <c r="E1415" s="1">
        <v>0.0</v>
      </c>
      <c r="F1415" s="1">
        <v>0.0</v>
      </c>
    </row>
    <row r="1416">
      <c r="A1416" s="1" t="s">
        <v>1448</v>
      </c>
      <c r="B1416" s="1">
        <v>84.0</v>
      </c>
      <c r="C1416" s="1">
        <v>0.0</v>
      </c>
      <c r="D1416" s="1">
        <v>0.0</v>
      </c>
      <c r="E1416" s="1">
        <v>0.0</v>
      </c>
      <c r="F1416" s="1">
        <v>0.0</v>
      </c>
    </row>
    <row r="1417">
      <c r="A1417" s="1" t="s">
        <v>1050</v>
      </c>
      <c r="B1417" s="1">
        <v>39.0</v>
      </c>
      <c r="C1417" s="1">
        <v>0.0</v>
      </c>
      <c r="D1417" s="1">
        <v>0.0</v>
      </c>
      <c r="E1417" s="1">
        <v>0.0</v>
      </c>
      <c r="F1417" s="1">
        <v>0.0</v>
      </c>
    </row>
    <row r="1418">
      <c r="A1418" s="1" t="s">
        <v>1840</v>
      </c>
      <c r="B1418" s="1">
        <v>11.0</v>
      </c>
      <c r="C1418" s="1">
        <v>0.0</v>
      </c>
      <c r="D1418" s="1">
        <v>0.0</v>
      </c>
      <c r="E1418" s="1">
        <v>0.0</v>
      </c>
      <c r="F1418" s="1">
        <v>0.0</v>
      </c>
    </row>
    <row r="1419">
      <c r="A1419" s="1" t="s">
        <v>303</v>
      </c>
      <c r="B1419" s="1">
        <v>38.0</v>
      </c>
      <c r="C1419" s="1">
        <v>0.0</v>
      </c>
      <c r="D1419" s="1">
        <v>0.0</v>
      </c>
      <c r="E1419" s="1">
        <v>0.0</v>
      </c>
      <c r="F1419" s="1">
        <v>0.0</v>
      </c>
    </row>
    <row r="1420">
      <c r="A1420" s="1" t="s">
        <v>1190</v>
      </c>
      <c r="B1420" s="1">
        <v>30.0</v>
      </c>
      <c r="C1420" s="1">
        <v>0.0</v>
      </c>
      <c r="D1420" s="1">
        <v>0.0</v>
      </c>
      <c r="E1420" s="1">
        <v>0.0</v>
      </c>
      <c r="F1420" s="1">
        <v>0.0</v>
      </c>
    </row>
    <row r="1421">
      <c r="A1421" s="1" t="s">
        <v>1896</v>
      </c>
      <c r="B1421" s="1">
        <v>3.0</v>
      </c>
      <c r="C1421" s="1">
        <v>0.0</v>
      </c>
      <c r="D1421" s="1">
        <v>0.0</v>
      </c>
      <c r="E1421" s="1">
        <v>0.0</v>
      </c>
      <c r="F1421" s="1">
        <v>0.0</v>
      </c>
    </row>
    <row r="1422">
      <c r="A1422" s="1" t="s">
        <v>596</v>
      </c>
      <c r="B1422" s="1">
        <v>30.0</v>
      </c>
      <c r="C1422" s="1">
        <v>0.0</v>
      </c>
      <c r="D1422" s="1">
        <v>0.0</v>
      </c>
      <c r="E1422" s="1">
        <v>0.0</v>
      </c>
      <c r="F1422" s="1">
        <v>0.0</v>
      </c>
    </row>
    <row r="1423">
      <c r="A1423" s="1" t="s">
        <v>335</v>
      </c>
      <c r="B1423" s="1">
        <v>318.0</v>
      </c>
      <c r="C1423" s="1">
        <v>3.0</v>
      </c>
      <c r="D1423" s="1">
        <v>0.0</v>
      </c>
      <c r="E1423" s="1">
        <v>0.0</v>
      </c>
      <c r="F1423" s="1">
        <v>0.0</v>
      </c>
    </row>
    <row r="1424">
      <c r="A1424" s="1" t="s">
        <v>576</v>
      </c>
      <c r="B1424" s="1">
        <v>27.0</v>
      </c>
      <c r="C1424" s="1">
        <v>0.0</v>
      </c>
      <c r="D1424" s="1">
        <v>0.0</v>
      </c>
      <c r="E1424" s="1">
        <v>0.0</v>
      </c>
      <c r="F1424" s="1">
        <v>0.0</v>
      </c>
    </row>
    <row r="1425">
      <c r="A1425" s="1" t="s">
        <v>1177</v>
      </c>
      <c r="B1425" s="1">
        <v>24.0</v>
      </c>
      <c r="C1425" s="1">
        <v>0.0</v>
      </c>
      <c r="D1425" s="1">
        <v>0.0</v>
      </c>
      <c r="E1425" s="1">
        <v>0.0</v>
      </c>
      <c r="F1425" s="1">
        <v>0.0</v>
      </c>
    </row>
    <row r="1426">
      <c r="A1426" s="1" t="s">
        <v>1539</v>
      </c>
      <c r="B1426" s="1">
        <v>37.0</v>
      </c>
      <c r="C1426" s="1">
        <v>0.0</v>
      </c>
      <c r="D1426" s="1">
        <v>0.0</v>
      </c>
      <c r="E1426" s="1">
        <v>0.0</v>
      </c>
      <c r="F1426" s="1">
        <v>0.0</v>
      </c>
    </row>
    <row r="1427">
      <c r="A1427" s="1" t="s">
        <v>976</v>
      </c>
      <c r="B1427" s="1">
        <v>633.0</v>
      </c>
      <c r="C1427" s="1">
        <v>1.0</v>
      </c>
      <c r="D1427" s="1">
        <v>0.0</v>
      </c>
      <c r="E1427" s="1">
        <v>0.0</v>
      </c>
      <c r="F1427" s="1">
        <v>0.0</v>
      </c>
    </row>
    <row r="1428">
      <c r="A1428" s="1" t="s">
        <v>1330</v>
      </c>
      <c r="B1428" s="1">
        <v>61.0</v>
      </c>
      <c r="C1428" s="1">
        <v>0.0</v>
      </c>
      <c r="D1428" s="1">
        <v>0.0</v>
      </c>
      <c r="E1428" s="1">
        <v>0.0</v>
      </c>
      <c r="F1428" s="1">
        <v>0.0</v>
      </c>
    </row>
    <row r="1429">
      <c r="A1429" s="1" t="s">
        <v>739</v>
      </c>
      <c r="B1429" s="1">
        <v>68.0</v>
      </c>
      <c r="C1429" s="1">
        <v>0.0</v>
      </c>
      <c r="D1429" s="1">
        <v>0.0</v>
      </c>
      <c r="E1429" s="1">
        <v>0.0</v>
      </c>
      <c r="F1429" s="1">
        <v>0.0</v>
      </c>
    </row>
    <row r="1430">
      <c r="A1430" s="1" t="s">
        <v>2063</v>
      </c>
      <c r="B1430" s="1">
        <v>10.0</v>
      </c>
      <c r="C1430" s="1">
        <v>0.0</v>
      </c>
      <c r="D1430" s="1">
        <v>0.0</v>
      </c>
      <c r="E1430" s="1">
        <v>0.0</v>
      </c>
      <c r="F1430" s="1">
        <v>0.0</v>
      </c>
    </row>
    <row r="1431">
      <c r="A1431" s="1" t="s">
        <v>615</v>
      </c>
      <c r="B1431" s="1">
        <v>34.0</v>
      </c>
      <c r="C1431" s="1">
        <v>0.0</v>
      </c>
      <c r="D1431" s="1">
        <v>0.0</v>
      </c>
      <c r="E1431" s="1">
        <v>0.0</v>
      </c>
      <c r="F1431" s="1">
        <v>0.0</v>
      </c>
    </row>
    <row r="1432">
      <c r="A1432" s="1" t="s">
        <v>507</v>
      </c>
      <c r="B1432" s="1">
        <v>125.0</v>
      </c>
      <c r="C1432" s="1">
        <v>0.0</v>
      </c>
      <c r="D1432" s="1">
        <v>0.0</v>
      </c>
      <c r="E1432" s="1">
        <v>0.0</v>
      </c>
      <c r="F1432" s="1">
        <v>0.0</v>
      </c>
    </row>
    <row r="1433">
      <c r="A1433" s="1" t="s">
        <v>1692</v>
      </c>
      <c r="B1433" s="1">
        <v>47.0</v>
      </c>
      <c r="C1433" s="1">
        <v>0.0</v>
      </c>
      <c r="D1433" s="1">
        <v>0.0</v>
      </c>
      <c r="E1433" s="1">
        <v>0.0</v>
      </c>
      <c r="F1433" s="1">
        <v>0.0</v>
      </c>
    </row>
    <row r="1434">
      <c r="A1434" s="1" t="s">
        <v>554</v>
      </c>
      <c r="B1434" s="1">
        <v>115.0</v>
      </c>
      <c r="C1434" s="1">
        <v>0.0</v>
      </c>
      <c r="D1434" s="1">
        <v>0.0</v>
      </c>
      <c r="E1434" s="1">
        <v>0.0</v>
      </c>
      <c r="F1434" s="1">
        <v>0.0</v>
      </c>
    </row>
    <row r="1435">
      <c r="A1435" s="1" t="s">
        <v>1846</v>
      </c>
      <c r="B1435" s="1">
        <v>8.0</v>
      </c>
      <c r="C1435" s="1">
        <v>0.0</v>
      </c>
      <c r="D1435" s="1">
        <v>0.0</v>
      </c>
      <c r="E1435" s="1">
        <v>0.0</v>
      </c>
      <c r="F1435" s="1">
        <v>0.0</v>
      </c>
    </row>
    <row r="1436">
      <c r="A1436" s="1" t="s">
        <v>1092</v>
      </c>
      <c r="B1436" s="1">
        <v>29.0</v>
      </c>
      <c r="C1436" s="1">
        <v>0.0</v>
      </c>
      <c r="D1436" s="1">
        <v>0.0</v>
      </c>
      <c r="E1436" s="1">
        <v>0.0</v>
      </c>
      <c r="F1436" s="1">
        <v>0.0</v>
      </c>
    </row>
    <row r="1437">
      <c r="A1437" s="1" t="s">
        <v>232</v>
      </c>
      <c r="B1437" s="1">
        <v>5.0</v>
      </c>
      <c r="C1437" s="1">
        <v>0.0</v>
      </c>
      <c r="D1437" s="1">
        <v>0.0</v>
      </c>
      <c r="E1437" s="1">
        <v>0.0</v>
      </c>
      <c r="F1437" s="1">
        <v>0.0</v>
      </c>
    </row>
    <row r="1438">
      <c r="A1438" s="1" t="s">
        <v>1323</v>
      </c>
      <c r="B1438" s="1">
        <v>23.0</v>
      </c>
      <c r="C1438" s="1">
        <v>0.0</v>
      </c>
      <c r="D1438" s="1">
        <v>0.0</v>
      </c>
      <c r="E1438" s="1">
        <v>0.0</v>
      </c>
      <c r="F1438" s="1">
        <v>0.0</v>
      </c>
    </row>
    <row r="1439">
      <c r="A1439" s="1" t="s">
        <v>648</v>
      </c>
      <c r="B1439" s="1">
        <v>179.0</v>
      </c>
      <c r="C1439" s="1">
        <v>1.0</v>
      </c>
      <c r="D1439" s="1">
        <v>0.0</v>
      </c>
      <c r="E1439" s="1">
        <v>0.0</v>
      </c>
      <c r="F1439" s="1">
        <v>0.0</v>
      </c>
    </row>
    <row r="1440">
      <c r="A1440" s="1" t="s">
        <v>1229</v>
      </c>
      <c r="B1440" s="1">
        <v>91.0</v>
      </c>
      <c r="C1440" s="1">
        <v>0.0</v>
      </c>
      <c r="D1440" s="1">
        <v>0.0</v>
      </c>
      <c r="E1440" s="1">
        <v>0.0</v>
      </c>
      <c r="F1440" s="1">
        <v>0.0</v>
      </c>
    </row>
    <row r="1441">
      <c r="A1441" s="1" t="s">
        <v>1464</v>
      </c>
      <c r="B1441" s="1">
        <v>3.0</v>
      </c>
      <c r="C1441" s="1">
        <v>0.0</v>
      </c>
      <c r="D1441" s="1">
        <v>0.0</v>
      </c>
      <c r="E1441" s="1">
        <v>0.0</v>
      </c>
      <c r="F1441" s="1">
        <v>0.0</v>
      </c>
    </row>
    <row r="1442">
      <c r="A1442" s="1" t="s">
        <v>1408</v>
      </c>
      <c r="B1442" s="1">
        <v>88.0</v>
      </c>
      <c r="C1442" s="1">
        <v>0.0</v>
      </c>
      <c r="D1442" s="1">
        <v>0.0</v>
      </c>
      <c r="E1442" s="1">
        <v>0.0</v>
      </c>
      <c r="F1442" s="1">
        <v>0.0</v>
      </c>
    </row>
    <row r="1443">
      <c r="A1443" s="1" t="s">
        <v>1886</v>
      </c>
      <c r="B1443" s="1">
        <v>4.0</v>
      </c>
      <c r="C1443" s="1">
        <v>0.0</v>
      </c>
      <c r="D1443" s="1">
        <v>0.0</v>
      </c>
      <c r="E1443" s="1">
        <v>0.0</v>
      </c>
      <c r="F1443" s="1">
        <v>0.0</v>
      </c>
    </row>
    <row r="1444">
      <c r="A1444" s="1" t="s">
        <v>2001</v>
      </c>
      <c r="B1444" s="1">
        <v>17.0</v>
      </c>
      <c r="C1444" s="1">
        <v>0.0</v>
      </c>
      <c r="D1444" s="1">
        <v>0.0</v>
      </c>
      <c r="E1444" s="1">
        <v>0.0</v>
      </c>
      <c r="F1444" s="1">
        <v>0.0</v>
      </c>
    </row>
    <row r="1445">
      <c r="A1445" s="1" t="s">
        <v>1401</v>
      </c>
      <c r="B1445" s="1">
        <v>92.0</v>
      </c>
      <c r="C1445" s="1">
        <v>0.0</v>
      </c>
      <c r="D1445" s="1">
        <v>0.0</v>
      </c>
      <c r="E1445" s="1">
        <v>0.0</v>
      </c>
      <c r="F1445" s="1">
        <v>0.0</v>
      </c>
    </row>
    <row r="1446">
      <c r="A1446" s="1" t="s">
        <v>1364</v>
      </c>
      <c r="B1446" s="1">
        <v>122.0</v>
      </c>
      <c r="C1446" s="1">
        <v>0.0</v>
      </c>
      <c r="D1446" s="1">
        <v>0.0</v>
      </c>
      <c r="E1446" s="1">
        <v>0.0</v>
      </c>
      <c r="F1446" s="1">
        <v>0.0</v>
      </c>
    </row>
    <row r="1447">
      <c r="A1447" s="1" t="s">
        <v>442</v>
      </c>
      <c r="B1447" s="1">
        <v>33.0</v>
      </c>
      <c r="C1447" s="1">
        <v>0.0</v>
      </c>
      <c r="D1447" s="1">
        <v>0.0</v>
      </c>
      <c r="E1447" s="1">
        <v>0.0</v>
      </c>
      <c r="F1447" s="1">
        <v>0.0</v>
      </c>
    </row>
    <row r="1448">
      <c r="A1448" s="1" t="s">
        <v>1883</v>
      </c>
      <c r="B1448" s="1">
        <v>20.0</v>
      </c>
      <c r="C1448" s="1">
        <v>0.0</v>
      </c>
      <c r="D1448" s="1">
        <v>0.0</v>
      </c>
      <c r="E1448" s="1">
        <v>0.0</v>
      </c>
      <c r="F1448" s="1">
        <v>0.0</v>
      </c>
    </row>
    <row r="1449">
      <c r="A1449" s="1" t="s">
        <v>863</v>
      </c>
      <c r="B1449" s="1">
        <v>22.0</v>
      </c>
      <c r="C1449" s="1">
        <v>0.0</v>
      </c>
      <c r="D1449" s="1">
        <v>0.0</v>
      </c>
      <c r="E1449" s="1">
        <v>0.0</v>
      </c>
      <c r="F1449" s="1">
        <v>0.0</v>
      </c>
    </row>
    <row r="1450">
      <c r="A1450" s="1" t="s">
        <v>474</v>
      </c>
      <c r="B1450" s="1">
        <v>13.0</v>
      </c>
      <c r="C1450" s="1">
        <v>0.0</v>
      </c>
      <c r="D1450" s="1">
        <v>0.0</v>
      </c>
      <c r="E1450" s="1">
        <v>0.0</v>
      </c>
      <c r="F1450" s="1">
        <v>0.0</v>
      </c>
    </row>
    <row r="1451">
      <c r="A1451" s="1" t="s">
        <v>1023</v>
      </c>
      <c r="B1451" s="1">
        <v>89.0</v>
      </c>
      <c r="C1451" s="1">
        <v>0.0</v>
      </c>
      <c r="D1451" s="1">
        <v>0.0</v>
      </c>
      <c r="E1451" s="1">
        <v>0.0</v>
      </c>
      <c r="F1451" s="1">
        <v>0.0</v>
      </c>
    </row>
    <row r="1452">
      <c r="A1452" s="1" t="s">
        <v>999</v>
      </c>
      <c r="B1452" s="1">
        <v>120.0</v>
      </c>
      <c r="C1452" s="1">
        <v>0.0</v>
      </c>
      <c r="D1452" s="1">
        <v>0.0</v>
      </c>
      <c r="E1452" s="1">
        <v>0.0</v>
      </c>
      <c r="F1452" s="1">
        <v>0.0</v>
      </c>
    </row>
    <row r="1453">
      <c r="A1453" s="1" t="s">
        <v>1976</v>
      </c>
      <c r="B1453" s="1">
        <v>37.0</v>
      </c>
      <c r="C1453" s="1">
        <v>0.0</v>
      </c>
      <c r="D1453" s="1">
        <v>0.0</v>
      </c>
      <c r="E1453" s="1">
        <v>0.0</v>
      </c>
      <c r="F1453" s="1">
        <v>0.0</v>
      </c>
    </row>
    <row r="1454">
      <c r="A1454" s="1" t="s">
        <v>318</v>
      </c>
      <c r="B1454" s="1">
        <v>44.0</v>
      </c>
      <c r="C1454" s="1">
        <v>0.0</v>
      </c>
      <c r="D1454" s="1">
        <v>0.0</v>
      </c>
      <c r="E1454" s="1">
        <v>0.0</v>
      </c>
      <c r="F1454" s="1">
        <v>0.0</v>
      </c>
    </row>
    <row r="1455">
      <c r="A1455" s="1" t="s">
        <v>1196</v>
      </c>
      <c r="B1455" s="1">
        <v>20.0</v>
      </c>
      <c r="C1455" s="1">
        <v>0.0</v>
      </c>
      <c r="D1455" s="1">
        <v>0.0</v>
      </c>
      <c r="E1455" s="1">
        <v>0.0</v>
      </c>
      <c r="F1455" s="1">
        <v>0.0</v>
      </c>
    </row>
    <row r="1456">
      <c r="A1456" s="1" t="s">
        <v>1104</v>
      </c>
      <c r="B1456" s="1">
        <v>22.0</v>
      </c>
      <c r="C1456" s="1">
        <v>0.0</v>
      </c>
      <c r="D1456" s="1">
        <v>0.0</v>
      </c>
      <c r="E1456" s="1">
        <v>0.0</v>
      </c>
      <c r="F1456" s="1">
        <v>0.0</v>
      </c>
    </row>
    <row r="1457">
      <c r="A1457" s="1" t="s">
        <v>402</v>
      </c>
      <c r="B1457" s="1">
        <v>5.0</v>
      </c>
      <c r="C1457" s="1">
        <v>0.0</v>
      </c>
      <c r="D1457" s="1">
        <v>0.0</v>
      </c>
      <c r="E1457" s="1">
        <v>0.0</v>
      </c>
      <c r="F1457" s="1">
        <v>0.0</v>
      </c>
    </row>
    <row r="1458">
      <c r="A1458" s="1" t="s">
        <v>202</v>
      </c>
      <c r="B1458" s="1">
        <v>3.0</v>
      </c>
      <c r="C1458" s="1">
        <v>0.0</v>
      </c>
      <c r="D1458" s="1">
        <v>0.0</v>
      </c>
      <c r="E1458" s="1">
        <v>0.0</v>
      </c>
      <c r="F1458" s="1">
        <v>0.0</v>
      </c>
    </row>
    <row r="1459">
      <c r="A1459" s="1" t="s">
        <v>1929</v>
      </c>
      <c r="B1459" s="1">
        <v>104.0</v>
      </c>
      <c r="C1459" s="1">
        <v>0.0</v>
      </c>
      <c r="D1459" s="1">
        <v>0.0</v>
      </c>
      <c r="E1459" s="1">
        <v>0.0</v>
      </c>
      <c r="F1459" s="1">
        <v>0.0</v>
      </c>
    </row>
    <row r="1460">
      <c r="A1460" s="1" t="s">
        <v>1226</v>
      </c>
      <c r="B1460" s="1">
        <v>11.0</v>
      </c>
      <c r="C1460" s="1">
        <v>0.0</v>
      </c>
      <c r="D1460" s="1">
        <v>0.0</v>
      </c>
      <c r="E1460" s="1">
        <v>0.0</v>
      </c>
      <c r="F1460" s="1">
        <v>0.0</v>
      </c>
    </row>
    <row r="1461">
      <c r="A1461" s="1" t="s">
        <v>750</v>
      </c>
      <c r="B1461" s="1">
        <v>20.0</v>
      </c>
      <c r="C1461" s="1">
        <v>0.0</v>
      </c>
      <c r="D1461" s="1">
        <v>0.0</v>
      </c>
      <c r="E1461" s="1">
        <v>0.0</v>
      </c>
      <c r="F1461" s="1">
        <v>0.0</v>
      </c>
    </row>
    <row r="1462">
      <c r="A1462" s="1" t="s">
        <v>476</v>
      </c>
      <c r="B1462" s="1">
        <v>11.0</v>
      </c>
      <c r="C1462" s="1">
        <v>0.0</v>
      </c>
      <c r="D1462" s="1">
        <v>0.0</v>
      </c>
      <c r="E1462" s="1">
        <v>0.0</v>
      </c>
      <c r="F1462" s="1">
        <v>0.0</v>
      </c>
    </row>
    <row r="1463">
      <c r="A1463" s="1" t="s">
        <v>1439</v>
      </c>
      <c r="B1463" s="1">
        <v>42.0</v>
      </c>
      <c r="C1463" s="1">
        <v>0.0</v>
      </c>
      <c r="D1463" s="1">
        <v>0.0</v>
      </c>
      <c r="E1463" s="1">
        <v>0.0</v>
      </c>
      <c r="F1463" s="1">
        <v>0.0</v>
      </c>
    </row>
    <row r="1464">
      <c r="A1464" s="1" t="s">
        <v>2066</v>
      </c>
      <c r="B1464" s="1">
        <v>40.0</v>
      </c>
      <c r="C1464" s="1">
        <v>0.0</v>
      </c>
      <c r="D1464" s="1">
        <v>0.0</v>
      </c>
      <c r="E1464" s="1">
        <v>0.0</v>
      </c>
      <c r="F1464" s="1">
        <v>0.0</v>
      </c>
    </row>
    <row r="1465">
      <c r="A1465" s="1" t="s">
        <v>965</v>
      </c>
      <c r="B1465" s="1">
        <v>8.0</v>
      </c>
      <c r="C1465" s="1">
        <v>0.0</v>
      </c>
      <c r="D1465" s="1">
        <v>0.0</v>
      </c>
      <c r="E1465" s="1">
        <v>0.0</v>
      </c>
      <c r="F1465" s="1">
        <v>0.0</v>
      </c>
    </row>
    <row r="1466">
      <c r="A1466" s="1" t="s">
        <v>462</v>
      </c>
      <c r="B1466" s="1">
        <v>40.0</v>
      </c>
      <c r="C1466" s="1">
        <v>0.0</v>
      </c>
      <c r="D1466" s="1">
        <v>0.0</v>
      </c>
      <c r="E1466" s="1">
        <v>0.0</v>
      </c>
      <c r="F1466" s="1">
        <v>0.0</v>
      </c>
    </row>
    <row r="1467">
      <c r="A1467" s="1" t="s">
        <v>1514</v>
      </c>
      <c r="B1467" s="1">
        <v>19.0</v>
      </c>
      <c r="C1467" s="1">
        <v>0.0</v>
      </c>
      <c r="D1467" s="1">
        <v>0.0</v>
      </c>
      <c r="E1467" s="1">
        <v>0.0</v>
      </c>
      <c r="F1467" s="1">
        <v>0.0</v>
      </c>
    </row>
    <row r="1468">
      <c r="A1468" s="1" t="s">
        <v>1972</v>
      </c>
      <c r="B1468" s="1">
        <v>40.0</v>
      </c>
      <c r="C1468" s="1">
        <v>0.0</v>
      </c>
      <c r="D1468" s="1">
        <v>0.0</v>
      </c>
      <c r="E1468" s="1">
        <v>0.0</v>
      </c>
      <c r="F1468" s="1">
        <v>0.0</v>
      </c>
    </row>
    <row r="1469">
      <c r="A1469" s="1" t="s">
        <v>1186</v>
      </c>
      <c r="B1469" s="1">
        <v>22.0</v>
      </c>
      <c r="C1469" s="1">
        <v>0.0</v>
      </c>
      <c r="D1469" s="1">
        <v>0.0</v>
      </c>
      <c r="E1469" s="1">
        <v>0.0</v>
      </c>
      <c r="F1469" s="1">
        <v>0.0</v>
      </c>
    </row>
    <row r="1470">
      <c r="A1470" s="1" t="s">
        <v>874</v>
      </c>
      <c r="B1470" s="1">
        <v>14.0</v>
      </c>
      <c r="C1470" s="1">
        <v>0.0</v>
      </c>
      <c r="D1470" s="1">
        <v>0.0</v>
      </c>
      <c r="E1470" s="1">
        <v>0.0</v>
      </c>
      <c r="F1470" s="1">
        <v>0.0</v>
      </c>
    </row>
    <row r="1471">
      <c r="A1471" s="1" t="s">
        <v>1044</v>
      </c>
      <c r="B1471" s="1">
        <v>11.0</v>
      </c>
      <c r="C1471" s="1">
        <v>0.0</v>
      </c>
      <c r="D1471" s="1">
        <v>0.0</v>
      </c>
      <c r="E1471" s="1">
        <v>0.0</v>
      </c>
      <c r="F1471" s="1">
        <v>0.0</v>
      </c>
    </row>
    <row r="1472">
      <c r="A1472" s="1" t="s">
        <v>1235</v>
      </c>
      <c r="B1472" s="1">
        <v>33.0</v>
      </c>
      <c r="C1472" s="1">
        <v>0.0</v>
      </c>
      <c r="D1472" s="1">
        <v>0.0</v>
      </c>
      <c r="E1472" s="1">
        <v>0.0</v>
      </c>
      <c r="F1472" s="1">
        <v>0.0</v>
      </c>
    </row>
    <row r="1473">
      <c r="A1473" s="1" t="s">
        <v>2007</v>
      </c>
      <c r="B1473" s="1">
        <v>54.0</v>
      </c>
      <c r="C1473" s="1">
        <v>0.0</v>
      </c>
      <c r="D1473" s="1">
        <v>0.0</v>
      </c>
      <c r="E1473" s="1">
        <v>0.0</v>
      </c>
      <c r="F1473" s="1">
        <v>0.0</v>
      </c>
    </row>
    <row r="1474">
      <c r="A1474" s="1" t="s">
        <v>317</v>
      </c>
      <c r="B1474" s="1">
        <v>103.0</v>
      </c>
      <c r="C1474" s="1">
        <v>0.0</v>
      </c>
      <c r="D1474" s="1">
        <v>0.0</v>
      </c>
      <c r="E1474" s="1">
        <v>0.0</v>
      </c>
      <c r="F1474" s="1">
        <v>0.0</v>
      </c>
    </row>
    <row r="1475">
      <c r="A1475" s="1" t="s">
        <v>1937</v>
      </c>
      <c r="B1475" s="1">
        <v>12.0</v>
      </c>
      <c r="C1475" s="1">
        <v>0.0</v>
      </c>
      <c r="D1475" s="1">
        <v>0.0</v>
      </c>
      <c r="E1475" s="1">
        <v>0.0</v>
      </c>
      <c r="F1475" s="1">
        <v>0.0</v>
      </c>
    </row>
    <row r="1476">
      <c r="A1476" s="1" t="s">
        <v>2049</v>
      </c>
      <c r="B1476" s="1">
        <v>25.0</v>
      </c>
      <c r="C1476" s="1">
        <v>0.0</v>
      </c>
      <c r="D1476" s="1">
        <v>0.0</v>
      </c>
      <c r="E1476" s="1">
        <v>0.0</v>
      </c>
      <c r="F1476" s="1">
        <v>0.0</v>
      </c>
    </row>
    <row r="1477">
      <c r="A1477" s="1" t="s">
        <v>1537</v>
      </c>
      <c r="B1477" s="1">
        <v>13.0</v>
      </c>
      <c r="C1477" s="1">
        <v>0.0</v>
      </c>
      <c r="D1477" s="1">
        <v>0.0</v>
      </c>
      <c r="E1477" s="1">
        <v>0.0</v>
      </c>
      <c r="F1477" s="1">
        <v>0.0</v>
      </c>
    </row>
    <row r="1478">
      <c r="A1478" s="1" t="s">
        <v>1638</v>
      </c>
      <c r="B1478" s="1">
        <v>39.0</v>
      </c>
      <c r="C1478" s="1">
        <v>0.0</v>
      </c>
      <c r="D1478" s="1">
        <v>0.0</v>
      </c>
      <c r="E1478" s="1">
        <v>0.0</v>
      </c>
      <c r="F1478" s="1">
        <v>0.0</v>
      </c>
    </row>
    <row r="1479">
      <c r="A1479" s="1" t="s">
        <v>1973</v>
      </c>
      <c r="B1479" s="1">
        <v>163.0</v>
      </c>
      <c r="C1479" s="1">
        <v>1.0</v>
      </c>
      <c r="D1479" s="1">
        <v>0.0</v>
      </c>
      <c r="E1479" s="1">
        <v>0.0</v>
      </c>
      <c r="F1479" s="1">
        <v>0.0</v>
      </c>
    </row>
    <row r="1480">
      <c r="A1480" s="1" t="s">
        <v>1199</v>
      </c>
      <c r="B1480" s="1">
        <v>20.0</v>
      </c>
      <c r="C1480" s="1">
        <v>0.0</v>
      </c>
      <c r="D1480" s="1">
        <v>0.0</v>
      </c>
      <c r="E1480" s="1">
        <v>0.0</v>
      </c>
      <c r="F1480" s="1">
        <v>0.0</v>
      </c>
    </row>
    <row r="1481">
      <c r="A1481" s="1" t="s">
        <v>1307</v>
      </c>
      <c r="B1481" s="1">
        <v>34.0</v>
      </c>
      <c r="C1481" s="1">
        <v>0.0</v>
      </c>
      <c r="D1481" s="1">
        <v>0.0</v>
      </c>
      <c r="E1481" s="1">
        <v>0.0</v>
      </c>
      <c r="F1481" s="1">
        <v>0.0</v>
      </c>
    </row>
    <row r="1482">
      <c r="A1482" s="1" t="s">
        <v>2078</v>
      </c>
      <c r="B1482" s="1">
        <v>62.0</v>
      </c>
      <c r="C1482" s="1">
        <v>0.0</v>
      </c>
      <c r="D1482" s="1">
        <v>0.0</v>
      </c>
      <c r="E1482" s="1">
        <v>0.0</v>
      </c>
      <c r="F1482" s="1">
        <v>0.0</v>
      </c>
    </row>
    <row r="1483">
      <c r="A1483" s="1" t="s">
        <v>1957</v>
      </c>
      <c r="B1483" s="1">
        <v>2251.0</v>
      </c>
      <c r="C1483" s="1">
        <v>73.0</v>
      </c>
      <c r="D1483" s="1">
        <v>2.0</v>
      </c>
      <c r="E1483" s="1">
        <v>2.0</v>
      </c>
      <c r="F1483" s="1">
        <v>2.0</v>
      </c>
    </row>
    <row r="1484">
      <c r="A1484" s="1" t="s">
        <v>1856</v>
      </c>
      <c r="B1484" s="1">
        <v>43.0</v>
      </c>
      <c r="C1484" s="1">
        <v>0.0</v>
      </c>
      <c r="D1484" s="1">
        <v>0.0</v>
      </c>
      <c r="E1484" s="1">
        <v>0.0</v>
      </c>
      <c r="F1484" s="1">
        <v>0.0</v>
      </c>
    </row>
    <row r="1485">
      <c r="A1485" s="1" t="s">
        <v>1825</v>
      </c>
      <c r="B1485" s="1">
        <v>103.0</v>
      </c>
      <c r="C1485" s="1">
        <v>0.0</v>
      </c>
      <c r="D1485" s="1">
        <v>0.0</v>
      </c>
      <c r="E1485" s="1">
        <v>0.0</v>
      </c>
      <c r="F1485" s="1">
        <v>0.0</v>
      </c>
    </row>
    <row r="1486">
      <c r="A1486" s="1" t="s">
        <v>1280</v>
      </c>
      <c r="B1486" s="1">
        <v>34.0</v>
      </c>
      <c r="C1486" s="1">
        <v>0.0</v>
      </c>
      <c r="D1486" s="1">
        <v>0.0</v>
      </c>
      <c r="E1486" s="1">
        <v>0.0</v>
      </c>
      <c r="F1486" s="1">
        <v>0.0</v>
      </c>
    </row>
    <row r="1487">
      <c r="A1487" s="1" t="s">
        <v>1478</v>
      </c>
      <c r="B1487" s="1">
        <v>333.0</v>
      </c>
      <c r="C1487" s="1">
        <v>3.0</v>
      </c>
      <c r="D1487" s="1">
        <v>0.0</v>
      </c>
      <c r="E1487" s="1">
        <v>0.0</v>
      </c>
      <c r="F1487" s="1">
        <v>0.0</v>
      </c>
    </row>
    <row r="1488">
      <c r="A1488" s="1" t="s">
        <v>1427</v>
      </c>
      <c r="B1488" s="1">
        <v>12.0</v>
      </c>
      <c r="C1488" s="1">
        <v>0.0</v>
      </c>
      <c r="D1488" s="1">
        <v>0.0</v>
      </c>
      <c r="E1488" s="1">
        <v>0.0</v>
      </c>
      <c r="F1488" s="1">
        <v>0.0</v>
      </c>
    </row>
    <row r="1489">
      <c r="A1489" s="1" t="s">
        <v>735</v>
      </c>
      <c r="B1489" s="1">
        <v>403.0</v>
      </c>
      <c r="C1489" s="1">
        <v>0.0</v>
      </c>
      <c r="D1489" s="1">
        <v>0.0</v>
      </c>
      <c r="E1489" s="1">
        <v>0.0</v>
      </c>
      <c r="F1489" s="1">
        <v>0.0</v>
      </c>
    </row>
    <row r="1490">
      <c r="A1490" s="1" t="s">
        <v>1484</v>
      </c>
      <c r="B1490" s="1">
        <v>179.0</v>
      </c>
      <c r="C1490" s="1">
        <v>1.0</v>
      </c>
      <c r="D1490" s="1">
        <v>0.0</v>
      </c>
      <c r="E1490" s="1">
        <v>0.0</v>
      </c>
      <c r="F1490" s="1">
        <v>0.0</v>
      </c>
    </row>
    <row r="1491">
      <c r="A1491" s="1" t="s">
        <v>1914</v>
      </c>
      <c r="B1491" s="1">
        <v>1597.0</v>
      </c>
      <c r="C1491" s="1">
        <v>36.0</v>
      </c>
      <c r="D1491" s="1">
        <v>1.0</v>
      </c>
      <c r="E1491" s="1">
        <v>3.0</v>
      </c>
      <c r="F1491" s="1">
        <v>1.0</v>
      </c>
    </row>
    <row r="1492">
      <c r="A1492" s="1" t="s">
        <v>760</v>
      </c>
      <c r="B1492" s="1">
        <v>24.0</v>
      </c>
      <c r="C1492" s="1">
        <v>0.0</v>
      </c>
      <c r="D1492" s="1">
        <v>0.0</v>
      </c>
      <c r="E1492" s="1">
        <v>0.0</v>
      </c>
      <c r="F1492" s="1">
        <v>0.0</v>
      </c>
    </row>
    <row r="1493">
      <c r="A1493" s="1" t="s">
        <v>843</v>
      </c>
      <c r="B1493" s="1">
        <v>51.0</v>
      </c>
      <c r="C1493" s="1">
        <v>0.0</v>
      </c>
      <c r="D1493" s="1">
        <v>0.0</v>
      </c>
      <c r="E1493" s="1">
        <v>0.0</v>
      </c>
      <c r="F1493" s="1">
        <v>0.0</v>
      </c>
    </row>
    <row r="1494">
      <c r="A1494" s="1" t="s">
        <v>295</v>
      </c>
      <c r="B1494" s="1">
        <v>14.0</v>
      </c>
      <c r="C1494" s="1">
        <v>0.0</v>
      </c>
      <c r="D1494" s="1">
        <v>0.0</v>
      </c>
      <c r="E1494" s="1">
        <v>0.0</v>
      </c>
      <c r="F1494" s="1">
        <v>0.0</v>
      </c>
    </row>
    <row r="1495">
      <c r="A1495" s="1" t="s">
        <v>1665</v>
      </c>
      <c r="B1495" s="1">
        <v>16.0</v>
      </c>
      <c r="C1495" s="1">
        <v>0.0</v>
      </c>
      <c r="D1495" s="1">
        <v>0.0</v>
      </c>
      <c r="E1495" s="1">
        <v>0.0</v>
      </c>
      <c r="F1495" s="1">
        <v>0.0</v>
      </c>
    </row>
    <row r="1496">
      <c r="A1496" s="1" t="s">
        <v>1784</v>
      </c>
      <c r="B1496" s="1">
        <v>95.0</v>
      </c>
      <c r="C1496" s="1">
        <v>0.0</v>
      </c>
      <c r="D1496" s="1">
        <v>0.0</v>
      </c>
      <c r="E1496" s="1">
        <v>0.0</v>
      </c>
      <c r="F1496" s="1">
        <v>0.0</v>
      </c>
    </row>
    <row r="1497">
      <c r="A1497" s="1" t="s">
        <v>2048</v>
      </c>
      <c r="B1497" s="1">
        <v>132.0</v>
      </c>
      <c r="C1497" s="1">
        <v>0.0</v>
      </c>
      <c r="D1497" s="1">
        <v>0.0</v>
      </c>
      <c r="E1497" s="1">
        <v>0.0</v>
      </c>
      <c r="F1497" s="1">
        <v>0.0</v>
      </c>
    </row>
    <row r="1498">
      <c r="A1498" s="1" t="s">
        <v>1249</v>
      </c>
      <c r="B1498" s="1">
        <v>51.0</v>
      </c>
      <c r="C1498" s="1">
        <v>0.0</v>
      </c>
      <c r="D1498" s="1">
        <v>0.0</v>
      </c>
      <c r="E1498" s="1">
        <v>0.0</v>
      </c>
      <c r="F1498" s="1">
        <v>0.0</v>
      </c>
    </row>
    <row r="1499">
      <c r="A1499" s="1" t="s">
        <v>497</v>
      </c>
      <c r="B1499" s="1">
        <v>226.0</v>
      </c>
      <c r="C1499" s="1">
        <v>0.0</v>
      </c>
      <c r="D1499" s="1">
        <v>0.0</v>
      </c>
      <c r="E1499" s="1">
        <v>0.0</v>
      </c>
      <c r="F1499" s="1">
        <v>0.0</v>
      </c>
    </row>
    <row r="1500">
      <c r="A1500" s="1" t="s">
        <v>261</v>
      </c>
      <c r="B1500" s="1">
        <v>30.0</v>
      </c>
      <c r="C1500" s="1">
        <v>0.0</v>
      </c>
      <c r="D1500" s="1">
        <v>0.0</v>
      </c>
      <c r="E1500" s="1">
        <v>0.0</v>
      </c>
      <c r="F1500" s="1">
        <v>0.0</v>
      </c>
    </row>
    <row r="1501">
      <c r="A1501" s="1" t="s">
        <v>1244</v>
      </c>
      <c r="B1501" s="1">
        <v>63.0</v>
      </c>
      <c r="C1501" s="1">
        <v>0.0</v>
      </c>
      <c r="D1501" s="1">
        <v>0.0</v>
      </c>
      <c r="E1501" s="1">
        <v>0.0</v>
      </c>
      <c r="F1501" s="1">
        <v>0.0</v>
      </c>
    </row>
    <row r="1502">
      <c r="A1502" s="1" t="s">
        <v>1932</v>
      </c>
      <c r="B1502" s="1">
        <v>16.0</v>
      </c>
      <c r="C1502" s="1">
        <v>0.0</v>
      </c>
      <c r="D1502" s="1">
        <v>0.0</v>
      </c>
      <c r="E1502" s="1">
        <v>0.0</v>
      </c>
      <c r="F1502" s="1">
        <v>0.0</v>
      </c>
    </row>
    <row r="1503">
      <c r="A1503" s="1" t="s">
        <v>385</v>
      </c>
      <c r="B1503" s="1">
        <v>33.0</v>
      </c>
      <c r="C1503" s="1">
        <v>0.0</v>
      </c>
      <c r="D1503" s="1">
        <v>0.0</v>
      </c>
      <c r="E1503" s="1">
        <v>0.0</v>
      </c>
      <c r="F1503" s="1">
        <v>0.0</v>
      </c>
    </row>
    <row r="1504">
      <c r="A1504" s="1" t="s">
        <v>924</v>
      </c>
      <c r="B1504" s="1">
        <v>23.0</v>
      </c>
      <c r="C1504" s="1">
        <v>0.0</v>
      </c>
      <c r="D1504" s="1">
        <v>0.0</v>
      </c>
      <c r="E1504" s="1">
        <v>0.0</v>
      </c>
      <c r="F1504" s="1">
        <v>0.0</v>
      </c>
    </row>
    <row r="1505">
      <c r="A1505" s="1" t="s">
        <v>1906</v>
      </c>
      <c r="B1505" s="1">
        <v>19.0</v>
      </c>
      <c r="C1505" s="1">
        <v>0.0</v>
      </c>
      <c r="D1505" s="1">
        <v>0.0</v>
      </c>
      <c r="E1505" s="1">
        <v>0.0</v>
      </c>
      <c r="F1505" s="1">
        <v>0.0</v>
      </c>
    </row>
    <row r="1506">
      <c r="A1506" s="1" t="s">
        <v>1671</v>
      </c>
      <c r="B1506" s="1">
        <v>127.0</v>
      </c>
      <c r="C1506" s="1">
        <v>0.0</v>
      </c>
      <c r="D1506" s="1">
        <v>0.0</v>
      </c>
      <c r="E1506" s="1">
        <v>0.0</v>
      </c>
      <c r="F1506" s="1">
        <v>0.0</v>
      </c>
    </row>
    <row r="1507">
      <c r="A1507" s="1" t="s">
        <v>1096</v>
      </c>
      <c r="B1507" s="1">
        <v>16.0</v>
      </c>
      <c r="C1507" s="1">
        <v>0.0</v>
      </c>
      <c r="D1507" s="1">
        <v>0.0</v>
      </c>
      <c r="E1507" s="1">
        <v>0.0</v>
      </c>
      <c r="F1507" s="1">
        <v>0.0</v>
      </c>
    </row>
    <row r="1508">
      <c r="A1508" s="1" t="s">
        <v>277</v>
      </c>
      <c r="B1508" s="1">
        <v>62.0</v>
      </c>
      <c r="C1508" s="1">
        <v>0.0</v>
      </c>
      <c r="D1508" s="1">
        <v>0.0</v>
      </c>
      <c r="E1508" s="1">
        <v>0.0</v>
      </c>
      <c r="F1508" s="1">
        <v>0.0</v>
      </c>
    </row>
    <row r="1509">
      <c r="A1509" s="1" t="s">
        <v>376</v>
      </c>
      <c r="B1509" s="1">
        <v>4.0</v>
      </c>
      <c r="C1509" s="1">
        <v>0.0</v>
      </c>
      <c r="D1509" s="1">
        <v>0.0</v>
      </c>
      <c r="E1509" s="1">
        <v>0.0</v>
      </c>
      <c r="F1509" s="1">
        <v>0.0</v>
      </c>
    </row>
    <row r="1510">
      <c r="A1510" s="1" t="s">
        <v>459</v>
      </c>
      <c r="B1510" s="1">
        <v>59.0</v>
      </c>
      <c r="C1510" s="1">
        <v>0.0</v>
      </c>
      <c r="D1510" s="1">
        <v>0.0</v>
      </c>
      <c r="E1510" s="1">
        <v>0.0</v>
      </c>
      <c r="F1510" s="1">
        <v>0.0</v>
      </c>
    </row>
    <row r="1511">
      <c r="A1511" s="1" t="s">
        <v>1674</v>
      </c>
      <c r="B1511" s="1">
        <v>93.0</v>
      </c>
      <c r="C1511" s="1">
        <v>0.0</v>
      </c>
      <c r="D1511" s="1">
        <v>0.0</v>
      </c>
      <c r="E1511" s="1">
        <v>0.0</v>
      </c>
      <c r="F1511" s="1">
        <v>0.0</v>
      </c>
    </row>
    <row r="1512">
      <c r="A1512" s="1" t="s">
        <v>1757</v>
      </c>
      <c r="B1512" s="1">
        <v>10.0</v>
      </c>
      <c r="C1512" s="1">
        <v>0.0</v>
      </c>
      <c r="D1512" s="1">
        <v>0.0</v>
      </c>
      <c r="E1512" s="1">
        <v>0.0</v>
      </c>
      <c r="F1512" s="1">
        <v>0.0</v>
      </c>
    </row>
    <row r="1513">
      <c r="A1513" s="1" t="s">
        <v>894</v>
      </c>
      <c r="B1513" s="1">
        <v>29.0</v>
      </c>
      <c r="C1513" s="1">
        <v>0.0</v>
      </c>
      <c r="D1513" s="1">
        <v>0.0</v>
      </c>
      <c r="E1513" s="1">
        <v>0.0</v>
      </c>
      <c r="F1513" s="1">
        <v>0.0</v>
      </c>
    </row>
    <row r="1514">
      <c r="A1514" s="1" t="s">
        <v>298</v>
      </c>
      <c r="B1514" s="1">
        <v>24.0</v>
      </c>
      <c r="C1514" s="1">
        <v>0.0</v>
      </c>
      <c r="D1514" s="1">
        <v>0.0</v>
      </c>
      <c r="E1514" s="1">
        <v>0.0</v>
      </c>
      <c r="F1514" s="1">
        <v>0.0</v>
      </c>
    </row>
    <row r="1515">
      <c r="A1515" s="1" t="s">
        <v>617</v>
      </c>
      <c r="B1515" s="1">
        <v>16.0</v>
      </c>
      <c r="C1515" s="1">
        <v>0.0</v>
      </c>
      <c r="D1515" s="1">
        <v>0.0</v>
      </c>
      <c r="E1515" s="1">
        <v>0.0</v>
      </c>
      <c r="F1515" s="1">
        <v>0.0</v>
      </c>
    </row>
    <row r="1516">
      <c r="A1516" s="1" t="s">
        <v>815</v>
      </c>
      <c r="B1516" s="1">
        <v>18.0</v>
      </c>
      <c r="C1516" s="1">
        <v>0.0</v>
      </c>
      <c r="D1516" s="1">
        <v>0.0</v>
      </c>
      <c r="E1516" s="1">
        <v>0.0</v>
      </c>
      <c r="F1516" s="1">
        <v>0.0</v>
      </c>
    </row>
    <row r="1517">
      <c r="A1517" s="1" t="s">
        <v>1120</v>
      </c>
      <c r="B1517" s="1">
        <v>39.0</v>
      </c>
      <c r="C1517" s="1">
        <v>0.0</v>
      </c>
      <c r="D1517" s="1">
        <v>0.0</v>
      </c>
      <c r="E1517" s="1">
        <v>0.0</v>
      </c>
      <c r="F1517" s="1">
        <v>0.0</v>
      </c>
    </row>
    <row r="1518">
      <c r="A1518" s="1" t="s">
        <v>1009</v>
      </c>
      <c r="B1518" s="1">
        <v>39.0</v>
      </c>
      <c r="C1518" s="1">
        <v>0.0</v>
      </c>
      <c r="D1518" s="1">
        <v>0.0</v>
      </c>
      <c r="E1518" s="1">
        <v>0.0</v>
      </c>
      <c r="F1518" s="1">
        <v>0.0</v>
      </c>
    </row>
    <row r="1519">
      <c r="A1519" s="1" t="s">
        <v>1313</v>
      </c>
      <c r="B1519" s="1">
        <v>101.0</v>
      </c>
      <c r="C1519" s="1">
        <v>0.0</v>
      </c>
      <c r="D1519" s="1">
        <v>0.0</v>
      </c>
      <c r="E1519" s="1">
        <v>0.0</v>
      </c>
      <c r="F1519" s="1">
        <v>0.0</v>
      </c>
    </row>
    <row r="1520">
      <c r="A1520" s="1" t="s">
        <v>687</v>
      </c>
      <c r="B1520" s="1">
        <v>9.0</v>
      </c>
      <c r="C1520" s="1">
        <v>0.0</v>
      </c>
      <c r="D1520" s="1">
        <v>0.0</v>
      </c>
      <c r="E1520" s="1">
        <v>0.0</v>
      </c>
      <c r="F1520" s="1">
        <v>0.0</v>
      </c>
    </row>
    <row r="1521">
      <c r="A1521" s="1" t="s">
        <v>986</v>
      </c>
      <c r="B1521" s="1">
        <v>50.0</v>
      </c>
      <c r="C1521" s="1">
        <v>0.0</v>
      </c>
      <c r="D1521" s="1">
        <v>0.0</v>
      </c>
      <c r="E1521" s="1">
        <v>0.0</v>
      </c>
      <c r="F1521" s="1">
        <v>0.0</v>
      </c>
    </row>
    <row r="1522">
      <c r="A1522" s="1" t="s">
        <v>940</v>
      </c>
      <c r="B1522" s="1">
        <v>37.0</v>
      </c>
      <c r="C1522" s="1">
        <v>0.0</v>
      </c>
      <c r="D1522" s="1">
        <v>0.0</v>
      </c>
      <c r="E1522" s="1">
        <v>0.0</v>
      </c>
      <c r="F1522" s="1">
        <v>0.0</v>
      </c>
    </row>
    <row r="1523">
      <c r="A1523" s="1" t="s">
        <v>1580</v>
      </c>
      <c r="B1523" s="1">
        <v>37.0</v>
      </c>
      <c r="C1523" s="1">
        <v>0.0</v>
      </c>
      <c r="D1523" s="1">
        <v>0.0</v>
      </c>
      <c r="E1523" s="1">
        <v>0.0</v>
      </c>
      <c r="F1523" s="1">
        <v>0.0</v>
      </c>
    </row>
    <row r="1524">
      <c r="A1524" s="1" t="s">
        <v>945</v>
      </c>
      <c r="B1524" s="1">
        <v>25.0</v>
      </c>
      <c r="C1524" s="1">
        <v>0.0</v>
      </c>
      <c r="D1524" s="1">
        <v>0.0</v>
      </c>
      <c r="E1524" s="1">
        <v>0.0</v>
      </c>
      <c r="F1524" s="1">
        <v>0.0</v>
      </c>
    </row>
    <row r="1525">
      <c r="A1525" s="1" t="s">
        <v>1297</v>
      </c>
      <c r="B1525" s="1">
        <v>12.0</v>
      </c>
      <c r="C1525" s="1">
        <v>0.0</v>
      </c>
      <c r="D1525" s="1">
        <v>0.0</v>
      </c>
      <c r="E1525" s="1">
        <v>0.0</v>
      </c>
      <c r="F1525" s="1">
        <v>0.0</v>
      </c>
    </row>
    <row r="1526">
      <c r="A1526" s="1" t="s">
        <v>283</v>
      </c>
      <c r="B1526" s="1">
        <v>60.0</v>
      </c>
      <c r="C1526" s="1">
        <v>0.0</v>
      </c>
      <c r="D1526" s="1">
        <v>0.0</v>
      </c>
      <c r="E1526" s="1">
        <v>0.0</v>
      </c>
      <c r="F1526" s="1">
        <v>0.0</v>
      </c>
    </row>
    <row r="1527">
      <c r="A1527" s="1" t="s">
        <v>394</v>
      </c>
      <c r="B1527" s="1">
        <v>12.0</v>
      </c>
      <c r="C1527" s="1">
        <v>0.0</v>
      </c>
      <c r="D1527" s="1">
        <v>0.0</v>
      </c>
      <c r="E1527" s="1">
        <v>0.0</v>
      </c>
      <c r="F1527" s="1">
        <v>0.0</v>
      </c>
    </row>
    <row r="1528">
      <c r="A1528" s="1" t="s">
        <v>1468</v>
      </c>
      <c r="B1528" s="1">
        <v>37.0</v>
      </c>
      <c r="C1528" s="1">
        <v>0.0</v>
      </c>
      <c r="D1528" s="1">
        <v>0.0</v>
      </c>
      <c r="E1528" s="1">
        <v>0.0</v>
      </c>
      <c r="F1528" s="1">
        <v>0.0</v>
      </c>
    </row>
    <row r="1529">
      <c r="A1529" s="1" t="s">
        <v>1711</v>
      </c>
      <c r="B1529" s="1">
        <v>20.0</v>
      </c>
      <c r="C1529" s="1">
        <v>0.0</v>
      </c>
      <c r="D1529" s="1">
        <v>0.0</v>
      </c>
      <c r="E1529" s="1">
        <v>0.0</v>
      </c>
      <c r="F1529" s="1">
        <v>0.0</v>
      </c>
    </row>
    <row r="1530">
      <c r="A1530" s="1" t="s">
        <v>1936</v>
      </c>
      <c r="B1530" s="1">
        <v>26.0</v>
      </c>
      <c r="C1530" s="1">
        <v>0.0</v>
      </c>
      <c r="D1530" s="1">
        <v>0.0</v>
      </c>
      <c r="E1530" s="1">
        <v>0.0</v>
      </c>
      <c r="F1530" s="1">
        <v>0.0</v>
      </c>
    </row>
    <row r="1531">
      <c r="A1531" s="1" t="s">
        <v>913</v>
      </c>
      <c r="B1531" s="1">
        <v>8.0</v>
      </c>
      <c r="C1531" s="1">
        <v>0.0</v>
      </c>
      <c r="D1531" s="1">
        <v>0.0</v>
      </c>
      <c r="E1531" s="1">
        <v>0.0</v>
      </c>
      <c r="F1531" s="1">
        <v>0.0</v>
      </c>
    </row>
    <row r="1532">
      <c r="A1532" s="1" t="s">
        <v>233</v>
      </c>
      <c r="B1532" s="1">
        <v>15.0</v>
      </c>
      <c r="C1532" s="1">
        <v>0.0</v>
      </c>
      <c r="D1532" s="1">
        <v>0.0</v>
      </c>
      <c r="E1532" s="1">
        <v>0.0</v>
      </c>
      <c r="F1532" s="1">
        <v>0.0</v>
      </c>
    </row>
    <row r="1533">
      <c r="A1533" s="1" t="s">
        <v>912</v>
      </c>
      <c r="B1533" s="1">
        <v>105.0</v>
      </c>
      <c r="C1533" s="1">
        <v>0.0</v>
      </c>
      <c r="D1533" s="1">
        <v>0.0</v>
      </c>
      <c r="E1533" s="1">
        <v>0.0</v>
      </c>
      <c r="F1533" s="1">
        <v>0.0</v>
      </c>
    </row>
    <row r="1534">
      <c r="A1534" s="1" t="s">
        <v>1602</v>
      </c>
      <c r="B1534" s="1">
        <v>31.0</v>
      </c>
      <c r="C1534" s="1">
        <v>0.0</v>
      </c>
      <c r="D1534" s="1">
        <v>0.0</v>
      </c>
      <c r="E1534" s="1">
        <v>0.0</v>
      </c>
      <c r="F1534" s="1">
        <v>0.0</v>
      </c>
    </row>
    <row r="1535">
      <c r="A1535" s="1" t="s">
        <v>1368</v>
      </c>
      <c r="B1535" s="1">
        <v>4.0</v>
      </c>
      <c r="C1535" s="1">
        <v>0.0</v>
      </c>
      <c r="D1535" s="1">
        <v>0.0</v>
      </c>
      <c r="E1535" s="1">
        <v>0.0</v>
      </c>
      <c r="F1535" s="1">
        <v>0.0</v>
      </c>
    </row>
    <row r="1536">
      <c r="A1536" s="1" t="s">
        <v>1606</v>
      </c>
      <c r="B1536" s="1">
        <v>28.0</v>
      </c>
      <c r="C1536" s="1">
        <v>0.0</v>
      </c>
      <c r="D1536" s="1">
        <v>0.0</v>
      </c>
      <c r="E1536" s="1">
        <v>0.0</v>
      </c>
      <c r="F1536" s="1">
        <v>0.0</v>
      </c>
    </row>
    <row r="1537">
      <c r="A1537" s="1" t="s">
        <v>1081</v>
      </c>
      <c r="B1537" s="1">
        <v>22.0</v>
      </c>
      <c r="C1537" s="1">
        <v>0.0</v>
      </c>
      <c r="D1537" s="1">
        <v>0.0</v>
      </c>
      <c r="E1537" s="1">
        <v>0.0</v>
      </c>
      <c r="F1537" s="1">
        <v>0.0</v>
      </c>
    </row>
    <row r="1538">
      <c r="A1538" s="1" t="s">
        <v>1449</v>
      </c>
      <c r="B1538" s="1">
        <v>14.0</v>
      </c>
      <c r="C1538" s="1">
        <v>0.0</v>
      </c>
      <c r="D1538" s="1">
        <v>0.0</v>
      </c>
      <c r="E1538" s="1">
        <v>0.0</v>
      </c>
      <c r="F1538" s="1">
        <v>0.0</v>
      </c>
    </row>
    <row r="1539">
      <c r="A1539" s="1" t="s">
        <v>235</v>
      </c>
      <c r="B1539" s="1">
        <v>101.0</v>
      </c>
      <c r="C1539" s="1">
        <v>0.0</v>
      </c>
      <c r="D1539" s="1">
        <v>0.0</v>
      </c>
      <c r="E1539" s="1">
        <v>0.0</v>
      </c>
      <c r="F1539" s="1">
        <v>0.0</v>
      </c>
    </row>
    <row r="1540">
      <c r="A1540" s="1" t="s">
        <v>1434</v>
      </c>
      <c r="B1540" s="1">
        <v>5.0</v>
      </c>
      <c r="C1540" s="1">
        <v>0.0</v>
      </c>
      <c r="D1540" s="1">
        <v>0.0</v>
      </c>
      <c r="E1540" s="1">
        <v>0.0</v>
      </c>
      <c r="F1540" s="1">
        <v>0.0</v>
      </c>
    </row>
    <row r="1541">
      <c r="A1541" s="1" t="s">
        <v>2005</v>
      </c>
      <c r="B1541" s="1">
        <v>70.0</v>
      </c>
      <c r="C1541" s="1">
        <v>0.0</v>
      </c>
      <c r="D1541" s="1">
        <v>0.0</v>
      </c>
      <c r="E1541" s="1">
        <v>0.0</v>
      </c>
      <c r="F1541" s="1">
        <v>0.0</v>
      </c>
    </row>
    <row r="1542">
      <c r="A1542" s="1" t="s">
        <v>1459</v>
      </c>
      <c r="B1542" s="1">
        <v>175.0</v>
      </c>
      <c r="C1542" s="1">
        <v>1.0</v>
      </c>
      <c r="D1542" s="1">
        <v>0.0</v>
      </c>
      <c r="E1542" s="1">
        <v>0.0</v>
      </c>
      <c r="F1542" s="1">
        <v>0.0</v>
      </c>
    </row>
    <row r="1543">
      <c r="A1543" s="1" t="s">
        <v>1652</v>
      </c>
      <c r="B1543" s="1">
        <v>36.0</v>
      </c>
      <c r="C1543" s="1">
        <v>0.0</v>
      </c>
      <c r="D1543" s="1">
        <v>0.0</v>
      </c>
      <c r="E1543" s="1">
        <v>0.0</v>
      </c>
      <c r="F1543" s="1">
        <v>0.0</v>
      </c>
    </row>
    <row r="1544">
      <c r="A1544" s="1" t="s">
        <v>1523</v>
      </c>
      <c r="B1544" s="1">
        <v>43.0</v>
      </c>
      <c r="C1544" s="1">
        <v>0.0</v>
      </c>
      <c r="D1544" s="1">
        <v>0.0</v>
      </c>
      <c r="E1544" s="1">
        <v>0.0</v>
      </c>
      <c r="F1544" s="1">
        <v>0.0</v>
      </c>
    </row>
    <row r="1545">
      <c r="A1545" s="1" t="s">
        <v>1716</v>
      </c>
      <c r="B1545" s="1">
        <v>94.0</v>
      </c>
      <c r="C1545" s="1">
        <v>0.0</v>
      </c>
      <c r="D1545" s="1">
        <v>0.0</v>
      </c>
      <c r="E1545" s="1">
        <v>0.0</v>
      </c>
      <c r="F1545" s="1">
        <v>0.0</v>
      </c>
    </row>
    <row r="1546">
      <c r="A1546" s="1" t="s">
        <v>217</v>
      </c>
      <c r="B1546" s="1">
        <v>21.0</v>
      </c>
      <c r="C1546" s="1">
        <v>0.0</v>
      </c>
      <c r="D1546" s="1">
        <v>0.0</v>
      </c>
      <c r="E1546" s="1">
        <v>0.0</v>
      </c>
      <c r="F1546" s="1">
        <v>0.0</v>
      </c>
    </row>
    <row r="1547">
      <c r="A1547" s="1" t="s">
        <v>414</v>
      </c>
      <c r="B1547" s="1">
        <v>468.0</v>
      </c>
      <c r="C1547" s="1">
        <v>7.0</v>
      </c>
      <c r="D1547" s="1">
        <v>0.0</v>
      </c>
      <c r="E1547" s="1">
        <v>2.0</v>
      </c>
      <c r="F1547" s="1">
        <v>0.0</v>
      </c>
    </row>
    <row r="1548">
      <c r="A1548" s="1" t="s">
        <v>325</v>
      </c>
      <c r="B1548" s="1">
        <v>18.0</v>
      </c>
      <c r="C1548" s="1">
        <v>0.0</v>
      </c>
      <c r="D1548" s="1">
        <v>0.0</v>
      </c>
      <c r="E1548" s="1">
        <v>0.0</v>
      </c>
      <c r="F1548" s="1">
        <v>0.0</v>
      </c>
    </row>
    <row r="1549">
      <c r="A1549" s="1" t="s">
        <v>1378</v>
      </c>
      <c r="B1549" s="1">
        <v>66.0</v>
      </c>
      <c r="C1549" s="1">
        <v>0.0</v>
      </c>
      <c r="D1549" s="1">
        <v>0.0</v>
      </c>
      <c r="E1549" s="1">
        <v>0.0</v>
      </c>
      <c r="F1549" s="1">
        <v>0.0</v>
      </c>
    </row>
    <row r="1550">
      <c r="A1550" s="1" t="s">
        <v>1348</v>
      </c>
      <c r="B1550" s="1">
        <v>30.0</v>
      </c>
      <c r="C1550" s="1">
        <v>0.0</v>
      </c>
      <c r="D1550" s="1">
        <v>0.0</v>
      </c>
      <c r="E1550" s="1">
        <v>0.0</v>
      </c>
      <c r="F1550" s="1">
        <v>0.0</v>
      </c>
    </row>
    <row r="1551">
      <c r="A1551" s="1" t="s">
        <v>594</v>
      </c>
      <c r="B1551" s="1">
        <v>34.0</v>
      </c>
      <c r="C1551" s="1">
        <v>0.0</v>
      </c>
      <c r="D1551" s="1">
        <v>0.0</v>
      </c>
      <c r="E1551" s="1">
        <v>0.0</v>
      </c>
      <c r="F1551" s="1">
        <v>0.0</v>
      </c>
    </row>
    <row r="1552">
      <c r="A1552" s="1" t="s">
        <v>1412</v>
      </c>
      <c r="B1552" s="1">
        <v>16.0</v>
      </c>
      <c r="C1552" s="1">
        <v>0.0</v>
      </c>
      <c r="D1552" s="1">
        <v>0.0</v>
      </c>
      <c r="E1552" s="1">
        <v>0.0</v>
      </c>
      <c r="F1552" s="1">
        <v>0.0</v>
      </c>
    </row>
    <row r="1553">
      <c r="A1553" s="1" t="s">
        <v>606</v>
      </c>
      <c r="B1553" s="1">
        <v>861.0</v>
      </c>
      <c r="C1553" s="1">
        <v>24.0</v>
      </c>
      <c r="D1553" s="1">
        <v>0.0</v>
      </c>
      <c r="E1553" s="1">
        <v>2.0</v>
      </c>
      <c r="F1553" s="1">
        <v>0.0</v>
      </c>
    </row>
    <row r="1554">
      <c r="A1554" s="1" t="s">
        <v>871</v>
      </c>
      <c r="B1554" s="1">
        <v>22.0</v>
      </c>
      <c r="C1554" s="1">
        <v>0.0</v>
      </c>
      <c r="D1554" s="1">
        <v>0.0</v>
      </c>
      <c r="E1554" s="1">
        <v>0.0</v>
      </c>
      <c r="F1554" s="1">
        <v>0.0</v>
      </c>
    </row>
    <row r="1555">
      <c r="A1555" s="1" t="s">
        <v>1717</v>
      </c>
      <c r="B1555" s="1">
        <v>42.0</v>
      </c>
      <c r="C1555" s="1">
        <v>0.0</v>
      </c>
      <c r="D1555" s="1">
        <v>0.0</v>
      </c>
      <c r="E1555" s="1">
        <v>0.0</v>
      </c>
      <c r="F1555" s="1">
        <v>0.0</v>
      </c>
    </row>
    <row r="1556">
      <c r="A1556" s="1" t="s">
        <v>1769</v>
      </c>
      <c r="B1556" s="1">
        <v>79.0</v>
      </c>
      <c r="C1556" s="1">
        <v>0.0</v>
      </c>
      <c r="D1556" s="1">
        <v>0.0</v>
      </c>
      <c r="E1556" s="1">
        <v>0.0</v>
      </c>
      <c r="F1556" s="1">
        <v>0.0</v>
      </c>
    </row>
    <row r="1557">
      <c r="A1557" s="1" t="s">
        <v>520</v>
      </c>
      <c r="B1557" s="1">
        <v>44.0</v>
      </c>
      <c r="C1557" s="1">
        <v>0.0</v>
      </c>
      <c r="D1557" s="1">
        <v>0.0</v>
      </c>
      <c r="E1557" s="1">
        <v>0.0</v>
      </c>
      <c r="F1557" s="1">
        <v>0.0</v>
      </c>
    </row>
    <row r="1558">
      <c r="A1558" s="1" t="s">
        <v>353</v>
      </c>
      <c r="B1558" s="1">
        <v>73.0</v>
      </c>
      <c r="C1558" s="1">
        <v>0.0</v>
      </c>
      <c r="D1558" s="1">
        <v>0.0</v>
      </c>
      <c r="E1558" s="1">
        <v>0.0</v>
      </c>
      <c r="F1558" s="1">
        <v>0.0</v>
      </c>
    </row>
    <row r="1559">
      <c r="A1559" s="1" t="s">
        <v>1728</v>
      </c>
      <c r="B1559" s="1">
        <v>12.0</v>
      </c>
      <c r="C1559" s="1">
        <v>0.0</v>
      </c>
      <c r="D1559" s="1">
        <v>0.0</v>
      </c>
      <c r="E1559" s="1">
        <v>0.0</v>
      </c>
      <c r="F1559" s="1">
        <v>0.0</v>
      </c>
    </row>
    <row r="1560">
      <c r="A1560" s="1" t="s">
        <v>1684</v>
      </c>
      <c r="B1560" s="1">
        <v>66.0</v>
      </c>
      <c r="C1560" s="1">
        <v>0.0</v>
      </c>
      <c r="D1560" s="1">
        <v>0.0</v>
      </c>
      <c r="E1560" s="1">
        <v>0.0</v>
      </c>
      <c r="F1560" s="1">
        <v>0.0</v>
      </c>
    </row>
    <row r="1561">
      <c r="A1561" s="1" t="s">
        <v>734</v>
      </c>
      <c r="B1561" s="1">
        <v>42.0</v>
      </c>
      <c r="C1561" s="1">
        <v>0.0</v>
      </c>
      <c r="D1561" s="1">
        <v>0.0</v>
      </c>
      <c r="E1561" s="1">
        <v>0.0</v>
      </c>
      <c r="F1561" s="1">
        <v>0.0</v>
      </c>
    </row>
    <row r="1562">
      <c r="A1562" s="1" t="s">
        <v>406</v>
      </c>
      <c r="B1562" s="1">
        <v>149.0</v>
      </c>
      <c r="C1562" s="1">
        <v>0.0</v>
      </c>
      <c r="D1562" s="1">
        <v>0.0</v>
      </c>
      <c r="E1562" s="1">
        <v>0.0</v>
      </c>
      <c r="F1562" s="1">
        <v>0.0</v>
      </c>
    </row>
    <row r="1563">
      <c r="A1563" s="1" t="s">
        <v>1586</v>
      </c>
      <c r="B1563" s="1">
        <v>4.0</v>
      </c>
      <c r="C1563" s="1">
        <v>0.0</v>
      </c>
      <c r="D1563" s="1">
        <v>0.0</v>
      </c>
      <c r="E1563" s="1">
        <v>0.0</v>
      </c>
      <c r="F1563" s="1">
        <v>0.0</v>
      </c>
    </row>
    <row r="1564">
      <c r="A1564" s="1" t="s">
        <v>2085</v>
      </c>
      <c r="B1564" s="1">
        <v>5.0</v>
      </c>
      <c r="C1564" s="1">
        <v>0.0</v>
      </c>
      <c r="D1564" s="1">
        <v>0.0</v>
      </c>
      <c r="E1564" s="1">
        <v>0.0</v>
      </c>
      <c r="F1564" s="1">
        <v>0.0</v>
      </c>
    </row>
    <row r="1565">
      <c r="A1565" s="1" t="s">
        <v>1534</v>
      </c>
      <c r="B1565" s="1">
        <v>10.0</v>
      </c>
      <c r="C1565" s="1">
        <v>0.0</v>
      </c>
      <c r="D1565" s="1">
        <v>0.0</v>
      </c>
      <c r="E1565" s="1">
        <v>0.0</v>
      </c>
      <c r="F1565" s="1">
        <v>0.0</v>
      </c>
    </row>
    <row r="1566">
      <c r="A1566" s="1" t="s">
        <v>1900</v>
      </c>
      <c r="B1566" s="1">
        <v>10.0</v>
      </c>
      <c r="C1566" s="1">
        <v>0.0</v>
      </c>
      <c r="D1566" s="1">
        <v>0.0</v>
      </c>
      <c r="E1566" s="1">
        <v>0.0</v>
      </c>
      <c r="F1566" s="1">
        <v>0.0</v>
      </c>
    </row>
    <row r="1567">
      <c r="A1567" s="1" t="s">
        <v>377</v>
      </c>
      <c r="B1567" s="1">
        <v>32.0</v>
      </c>
      <c r="C1567" s="1">
        <v>0.0</v>
      </c>
      <c r="D1567" s="1">
        <v>0.0</v>
      </c>
      <c r="E1567" s="1">
        <v>0.0</v>
      </c>
      <c r="F1567" s="1">
        <v>0.0</v>
      </c>
    </row>
    <row r="1568">
      <c r="A1568" s="1" t="s">
        <v>2068</v>
      </c>
      <c r="B1568" s="1">
        <v>35.0</v>
      </c>
      <c r="C1568" s="1">
        <v>0.0</v>
      </c>
      <c r="D1568" s="1">
        <v>0.0</v>
      </c>
      <c r="E1568" s="1">
        <v>0.0</v>
      </c>
      <c r="F1568" s="1">
        <v>0.0</v>
      </c>
    </row>
    <row r="1569">
      <c r="A1569" s="1" t="s">
        <v>1271</v>
      </c>
      <c r="B1569" s="1">
        <v>3.0</v>
      </c>
      <c r="C1569" s="1">
        <v>0.0</v>
      </c>
      <c r="D1569" s="1">
        <v>0.0</v>
      </c>
      <c r="E1569" s="1">
        <v>0.0</v>
      </c>
      <c r="F1569" s="1">
        <v>0.0</v>
      </c>
    </row>
    <row r="1570">
      <c r="A1570" s="1" t="s">
        <v>1147</v>
      </c>
      <c r="B1570" s="1">
        <v>10.0</v>
      </c>
      <c r="C1570" s="1">
        <v>0.0</v>
      </c>
      <c r="D1570" s="1">
        <v>0.0</v>
      </c>
      <c r="E1570" s="1">
        <v>0.0</v>
      </c>
      <c r="F1570" s="1">
        <v>0.0</v>
      </c>
    </row>
    <row r="1571">
      <c r="A1571" s="1" t="s">
        <v>1002</v>
      </c>
      <c r="B1571" s="1">
        <v>12.0</v>
      </c>
      <c r="C1571" s="1">
        <v>0.0</v>
      </c>
      <c r="D1571" s="1">
        <v>0.0</v>
      </c>
      <c r="E1571" s="1">
        <v>0.0</v>
      </c>
      <c r="F1571" s="1">
        <v>0.0</v>
      </c>
    </row>
    <row r="1572">
      <c r="A1572" s="1" t="s">
        <v>1880</v>
      </c>
      <c r="B1572" s="1">
        <v>47.0</v>
      </c>
      <c r="C1572" s="1">
        <v>0.0</v>
      </c>
      <c r="D1572" s="1">
        <v>0.0</v>
      </c>
      <c r="E1572" s="1">
        <v>0.0</v>
      </c>
      <c r="F1572" s="1">
        <v>0.0</v>
      </c>
    </row>
    <row r="1573">
      <c r="A1573" s="1" t="s">
        <v>1718</v>
      </c>
      <c r="B1573" s="1">
        <v>46.0</v>
      </c>
      <c r="C1573" s="1">
        <v>0.0</v>
      </c>
      <c r="D1573" s="1">
        <v>0.0</v>
      </c>
      <c r="E1573" s="1">
        <v>0.0</v>
      </c>
      <c r="F1573" s="1">
        <v>0.0</v>
      </c>
    </row>
    <row r="1574">
      <c r="A1574" s="1" t="s">
        <v>1166</v>
      </c>
      <c r="B1574" s="1">
        <v>36.0</v>
      </c>
      <c r="C1574" s="1">
        <v>0.0</v>
      </c>
      <c r="D1574" s="1">
        <v>0.0</v>
      </c>
      <c r="E1574" s="1">
        <v>0.0</v>
      </c>
      <c r="F1574" s="1">
        <v>0.0</v>
      </c>
    </row>
    <row r="1575">
      <c r="A1575" s="1" t="s">
        <v>447</v>
      </c>
      <c r="B1575" s="1">
        <v>141.0</v>
      </c>
      <c r="C1575" s="1">
        <v>0.0</v>
      </c>
      <c r="D1575" s="1">
        <v>0.0</v>
      </c>
      <c r="E1575" s="1">
        <v>0.0</v>
      </c>
      <c r="F1575" s="1">
        <v>0.0</v>
      </c>
    </row>
    <row r="1576">
      <c r="A1576" s="1" t="s">
        <v>1823</v>
      </c>
      <c r="B1576" s="1">
        <v>79.0</v>
      </c>
      <c r="C1576" s="1">
        <v>0.0</v>
      </c>
      <c r="D1576" s="1">
        <v>0.0</v>
      </c>
      <c r="E1576" s="1">
        <v>0.0</v>
      </c>
      <c r="F1576" s="1">
        <v>0.0</v>
      </c>
    </row>
    <row r="1577">
      <c r="A1577" s="1" t="s">
        <v>751</v>
      </c>
      <c r="B1577" s="1">
        <v>6.0</v>
      </c>
      <c r="C1577" s="1">
        <v>0.0</v>
      </c>
      <c r="D1577" s="1">
        <v>0.0</v>
      </c>
      <c r="E1577" s="1">
        <v>0.0</v>
      </c>
      <c r="F1577" s="1">
        <v>0.0</v>
      </c>
    </row>
    <row r="1578">
      <c r="A1578" s="1" t="s">
        <v>1564</v>
      </c>
      <c r="B1578" s="1">
        <v>7.0</v>
      </c>
      <c r="C1578" s="1">
        <v>0.0</v>
      </c>
      <c r="D1578" s="1">
        <v>0.0</v>
      </c>
      <c r="E1578" s="1">
        <v>0.0</v>
      </c>
      <c r="F1578" s="1">
        <v>0.0</v>
      </c>
    </row>
    <row r="1579">
      <c r="A1579" s="1" t="s">
        <v>252</v>
      </c>
      <c r="B1579" s="1">
        <v>49.0</v>
      </c>
      <c r="C1579" s="1">
        <v>0.0</v>
      </c>
      <c r="D1579" s="1">
        <v>0.0</v>
      </c>
      <c r="E1579" s="1">
        <v>0.0</v>
      </c>
      <c r="F1579" s="1">
        <v>0.0</v>
      </c>
    </row>
    <row r="1580">
      <c r="A1580" s="1" t="s">
        <v>1624</v>
      </c>
      <c r="B1580" s="1">
        <v>22.0</v>
      </c>
      <c r="C1580" s="1">
        <v>0.0</v>
      </c>
      <c r="D1580" s="1">
        <v>0.0</v>
      </c>
      <c r="E1580" s="1">
        <v>0.0</v>
      </c>
      <c r="F1580" s="1">
        <v>0.0</v>
      </c>
    </row>
    <row r="1581">
      <c r="A1581" s="1" t="s">
        <v>1625</v>
      </c>
      <c r="B1581" s="1">
        <v>24.0</v>
      </c>
      <c r="C1581" s="1">
        <v>0.0</v>
      </c>
      <c r="D1581" s="1">
        <v>0.0</v>
      </c>
      <c r="E1581" s="1">
        <v>0.0</v>
      </c>
      <c r="F1581" s="1">
        <v>0.0</v>
      </c>
    </row>
    <row r="1582">
      <c r="A1582" s="1" t="s">
        <v>1547</v>
      </c>
      <c r="B1582" s="1">
        <v>50.0</v>
      </c>
      <c r="C1582" s="1">
        <v>0.0</v>
      </c>
      <c r="D1582" s="1">
        <v>0.0</v>
      </c>
      <c r="E1582" s="1">
        <v>0.0</v>
      </c>
      <c r="F1582" s="1">
        <v>0.0</v>
      </c>
    </row>
    <row r="1583">
      <c r="A1583" s="1" t="s">
        <v>1371</v>
      </c>
      <c r="B1583" s="1">
        <v>19.0</v>
      </c>
      <c r="C1583" s="1">
        <v>0.0</v>
      </c>
      <c r="D1583" s="1">
        <v>0.0</v>
      </c>
      <c r="E1583" s="1">
        <v>0.0</v>
      </c>
      <c r="F1583" s="1">
        <v>0.0</v>
      </c>
    </row>
    <row r="1584">
      <c r="A1584" s="1" t="s">
        <v>887</v>
      </c>
      <c r="B1584" s="1">
        <v>21.0</v>
      </c>
      <c r="C1584" s="1">
        <v>0.0</v>
      </c>
      <c r="D1584" s="1">
        <v>0.0</v>
      </c>
      <c r="E1584" s="1">
        <v>0.0</v>
      </c>
      <c r="F1584" s="1">
        <v>0.0</v>
      </c>
    </row>
    <row r="1585">
      <c r="A1585" s="1" t="s">
        <v>643</v>
      </c>
      <c r="B1585" s="1">
        <v>10.0</v>
      </c>
      <c r="C1585" s="1">
        <v>0.0</v>
      </c>
      <c r="D1585" s="1">
        <v>0.0</v>
      </c>
      <c r="E1585" s="1">
        <v>0.0</v>
      </c>
      <c r="F1585" s="1">
        <v>0.0</v>
      </c>
    </row>
    <row r="1586">
      <c r="A1586" s="1" t="s">
        <v>1169</v>
      </c>
      <c r="B1586" s="1">
        <v>49.0</v>
      </c>
      <c r="C1586" s="1">
        <v>0.0</v>
      </c>
      <c r="D1586" s="1">
        <v>0.0</v>
      </c>
      <c r="E1586" s="1">
        <v>0.0</v>
      </c>
      <c r="F1586" s="1">
        <v>0.0</v>
      </c>
    </row>
    <row r="1587">
      <c r="A1587" s="1" t="s">
        <v>1653</v>
      </c>
      <c r="B1587" s="1">
        <v>20.0</v>
      </c>
      <c r="C1587" s="1">
        <v>0.0</v>
      </c>
      <c r="D1587" s="1">
        <v>0.0</v>
      </c>
      <c r="E1587" s="1">
        <v>0.0</v>
      </c>
      <c r="F1587" s="1">
        <v>0.0</v>
      </c>
    </row>
    <row r="1588">
      <c r="A1588" s="1" t="s">
        <v>798</v>
      </c>
      <c r="B1588" s="1">
        <v>766.0</v>
      </c>
      <c r="C1588" s="1">
        <v>0.0</v>
      </c>
      <c r="D1588" s="1">
        <v>0.0</v>
      </c>
      <c r="E1588" s="1">
        <v>0.0</v>
      </c>
      <c r="F1588" s="1">
        <v>0.0</v>
      </c>
    </row>
    <row r="1589">
      <c r="A1589" s="1" t="s">
        <v>695</v>
      </c>
      <c r="B1589" s="1">
        <v>32.0</v>
      </c>
      <c r="C1589" s="1">
        <v>0.0</v>
      </c>
      <c r="D1589" s="1">
        <v>0.0</v>
      </c>
      <c r="E1589" s="1">
        <v>0.0</v>
      </c>
      <c r="F1589" s="1">
        <v>0.0</v>
      </c>
    </row>
    <row r="1590">
      <c r="A1590" s="1" t="s">
        <v>1458</v>
      </c>
      <c r="B1590" s="1">
        <v>5.0</v>
      </c>
      <c r="C1590" s="1">
        <v>0.0</v>
      </c>
      <c r="D1590" s="1">
        <v>0.0</v>
      </c>
      <c r="E1590" s="1">
        <v>0.0</v>
      </c>
      <c r="F1590" s="1">
        <v>0.0</v>
      </c>
    </row>
    <row r="1591">
      <c r="A1591" s="1" t="s">
        <v>1870</v>
      </c>
      <c r="B1591" s="1">
        <v>385.0</v>
      </c>
      <c r="C1591" s="1">
        <v>2.0</v>
      </c>
      <c r="D1591" s="1">
        <v>0.0</v>
      </c>
      <c r="E1591" s="1">
        <v>1.0</v>
      </c>
      <c r="F1591" s="1">
        <v>0.0</v>
      </c>
    </row>
    <row r="1592">
      <c r="A1592" s="1" t="s">
        <v>821</v>
      </c>
      <c r="B1592" s="1">
        <v>112.0</v>
      </c>
      <c r="C1592" s="1">
        <v>0.0</v>
      </c>
      <c r="D1592" s="1">
        <v>0.0</v>
      </c>
      <c r="E1592" s="1">
        <v>0.0</v>
      </c>
      <c r="F1592" s="1">
        <v>0.0</v>
      </c>
    </row>
    <row r="1593">
      <c r="A1593" s="1" t="s">
        <v>610</v>
      </c>
      <c r="B1593" s="1">
        <v>12.0</v>
      </c>
      <c r="C1593" s="1">
        <v>0.0</v>
      </c>
      <c r="D1593" s="1">
        <v>0.0</v>
      </c>
      <c r="E1593" s="1">
        <v>0.0</v>
      </c>
      <c r="F1593" s="1">
        <v>0.0</v>
      </c>
    </row>
    <row r="1594">
      <c r="A1594" s="1" t="s">
        <v>1265</v>
      </c>
      <c r="B1594" s="1">
        <v>19.0</v>
      </c>
      <c r="C1594" s="1">
        <v>0.0</v>
      </c>
      <c r="D1594" s="1">
        <v>0.0</v>
      </c>
      <c r="E1594" s="1">
        <v>0.0</v>
      </c>
      <c r="F1594" s="1">
        <v>0.0</v>
      </c>
    </row>
    <row r="1595">
      <c r="A1595" s="1" t="s">
        <v>519</v>
      </c>
      <c r="B1595" s="1">
        <v>14.0</v>
      </c>
      <c r="C1595" s="1">
        <v>0.0</v>
      </c>
      <c r="D1595" s="1">
        <v>0.0</v>
      </c>
      <c r="E1595" s="1">
        <v>0.0</v>
      </c>
      <c r="F1595" s="1">
        <v>0.0</v>
      </c>
    </row>
    <row r="1596">
      <c r="A1596" s="1" t="s">
        <v>666</v>
      </c>
      <c r="B1596" s="1">
        <v>9.0</v>
      </c>
      <c r="C1596" s="1">
        <v>0.0</v>
      </c>
      <c r="D1596" s="1">
        <v>0.0</v>
      </c>
      <c r="E1596" s="1">
        <v>0.0</v>
      </c>
      <c r="F1596" s="1">
        <v>0.0</v>
      </c>
    </row>
    <row r="1597">
      <c r="A1597" s="1" t="s">
        <v>1217</v>
      </c>
      <c r="B1597" s="1">
        <v>56.0</v>
      </c>
      <c r="C1597" s="1">
        <v>0.0</v>
      </c>
      <c r="D1597" s="1">
        <v>0.0</v>
      </c>
      <c r="E1597" s="1">
        <v>0.0</v>
      </c>
      <c r="F1597" s="1">
        <v>0.0</v>
      </c>
    </row>
    <row r="1598">
      <c r="A1598" s="1" t="s">
        <v>1765</v>
      </c>
      <c r="B1598" s="1">
        <v>67.0</v>
      </c>
      <c r="C1598" s="1">
        <v>0.0</v>
      </c>
      <c r="D1598" s="1">
        <v>0.0</v>
      </c>
      <c r="E1598" s="1">
        <v>0.0</v>
      </c>
      <c r="F1598" s="1">
        <v>0.0</v>
      </c>
    </row>
    <row r="1599">
      <c r="A1599" s="1" t="s">
        <v>616</v>
      </c>
      <c r="B1599" s="1">
        <v>86.0</v>
      </c>
      <c r="C1599" s="1">
        <v>0.0</v>
      </c>
      <c r="D1599" s="1">
        <v>0.0</v>
      </c>
      <c r="E1599" s="1">
        <v>0.0</v>
      </c>
      <c r="F1599" s="1">
        <v>0.0</v>
      </c>
    </row>
    <row r="1600">
      <c r="A1600" s="1" t="s">
        <v>1622</v>
      </c>
      <c r="B1600" s="1">
        <v>47.0</v>
      </c>
      <c r="C1600" s="1">
        <v>0.0</v>
      </c>
      <c r="D1600" s="1">
        <v>0.0</v>
      </c>
      <c r="E1600" s="1">
        <v>0.0</v>
      </c>
      <c r="F1600" s="1">
        <v>0.0</v>
      </c>
    </row>
    <row r="1601">
      <c r="A1601" s="1" t="s">
        <v>1962</v>
      </c>
      <c r="B1601" s="1">
        <v>49.0</v>
      </c>
      <c r="C1601" s="1">
        <v>0.0</v>
      </c>
      <c r="D1601" s="1">
        <v>0.0</v>
      </c>
      <c r="E1601" s="1">
        <v>0.0</v>
      </c>
      <c r="F1601" s="1">
        <v>0.0</v>
      </c>
    </row>
    <row r="1602">
      <c r="A1602" s="1" t="s">
        <v>1213</v>
      </c>
      <c r="B1602" s="1">
        <v>91.0</v>
      </c>
      <c r="C1602" s="1">
        <v>0.0</v>
      </c>
      <c r="D1602" s="1">
        <v>0.0</v>
      </c>
      <c r="E1602" s="1">
        <v>0.0</v>
      </c>
      <c r="F1602" s="1">
        <v>0.0</v>
      </c>
    </row>
    <row r="1603">
      <c r="A1603" s="1" t="s">
        <v>954</v>
      </c>
      <c r="B1603" s="1">
        <v>110.0</v>
      </c>
      <c r="C1603" s="1">
        <v>0.0</v>
      </c>
      <c r="D1603" s="1">
        <v>0.0</v>
      </c>
      <c r="E1603" s="1">
        <v>0.0</v>
      </c>
      <c r="F1603" s="1">
        <v>0.0</v>
      </c>
    </row>
    <row r="1604">
      <c r="A1604" s="1" t="s">
        <v>1332</v>
      </c>
      <c r="B1604" s="1">
        <v>6.0</v>
      </c>
      <c r="C1604" s="1">
        <v>0.0</v>
      </c>
      <c r="D1604" s="1">
        <v>0.0</v>
      </c>
      <c r="E1604" s="1">
        <v>0.0</v>
      </c>
      <c r="F1604" s="1">
        <v>0.0</v>
      </c>
    </row>
    <row r="1605">
      <c r="A1605" s="1" t="s">
        <v>512</v>
      </c>
      <c r="B1605" s="1">
        <v>33.0</v>
      </c>
      <c r="C1605" s="1">
        <v>0.0</v>
      </c>
      <c r="D1605" s="1">
        <v>0.0</v>
      </c>
      <c r="E1605" s="1">
        <v>0.0</v>
      </c>
      <c r="F1605" s="1">
        <v>0.0</v>
      </c>
    </row>
    <row r="1606">
      <c r="A1606" s="1" t="s">
        <v>891</v>
      </c>
      <c r="B1606" s="1">
        <v>14.0</v>
      </c>
      <c r="C1606" s="1">
        <v>0.0</v>
      </c>
      <c r="D1606" s="1">
        <v>0.0</v>
      </c>
      <c r="E1606" s="1">
        <v>0.0</v>
      </c>
      <c r="F1606" s="1">
        <v>0.0</v>
      </c>
    </row>
    <row r="1607">
      <c r="A1607" s="1" t="s">
        <v>1878</v>
      </c>
      <c r="B1607" s="1">
        <v>9.0</v>
      </c>
      <c r="C1607" s="1">
        <v>0.0</v>
      </c>
      <c r="D1607" s="1">
        <v>0.0</v>
      </c>
      <c r="E1607" s="1">
        <v>0.0</v>
      </c>
      <c r="F1607" s="1">
        <v>0.0</v>
      </c>
    </row>
    <row r="1608">
      <c r="A1608" s="1" t="s">
        <v>645</v>
      </c>
      <c r="B1608" s="1">
        <v>28.0</v>
      </c>
      <c r="C1608" s="1">
        <v>0.0</v>
      </c>
      <c r="D1608" s="1">
        <v>0.0</v>
      </c>
      <c r="E1608" s="1">
        <v>0.0</v>
      </c>
      <c r="F1608" s="1">
        <v>0.0</v>
      </c>
    </row>
    <row r="1609">
      <c r="A1609" s="1" t="s">
        <v>629</v>
      </c>
      <c r="B1609" s="1">
        <v>41.0</v>
      </c>
      <c r="C1609" s="1">
        <v>0.0</v>
      </c>
      <c r="D1609" s="1">
        <v>0.0</v>
      </c>
      <c r="E1609" s="1">
        <v>0.0</v>
      </c>
      <c r="F1609" s="1">
        <v>0.0</v>
      </c>
    </row>
    <row r="1610">
      <c r="A1610" s="1" t="s">
        <v>895</v>
      </c>
      <c r="B1610" s="1">
        <v>19.0</v>
      </c>
      <c r="C1610" s="1">
        <v>0.0</v>
      </c>
      <c r="D1610" s="1">
        <v>0.0</v>
      </c>
      <c r="E1610" s="1">
        <v>0.0</v>
      </c>
      <c r="F1610" s="1">
        <v>0.0</v>
      </c>
    </row>
    <row r="1611">
      <c r="A1611" s="1" t="s">
        <v>1540</v>
      </c>
      <c r="B1611" s="1">
        <v>31.0</v>
      </c>
      <c r="C1611" s="1">
        <v>0.0</v>
      </c>
      <c r="D1611" s="1">
        <v>0.0</v>
      </c>
      <c r="E1611" s="1">
        <v>0.0</v>
      </c>
      <c r="F1611" s="1">
        <v>0.0</v>
      </c>
    </row>
    <row r="1612">
      <c r="A1612" s="1" t="s">
        <v>1125</v>
      </c>
      <c r="B1612" s="1">
        <v>227.0</v>
      </c>
      <c r="C1612" s="1">
        <v>1.0</v>
      </c>
      <c r="D1612" s="1">
        <v>0.0</v>
      </c>
      <c r="E1612" s="1">
        <v>0.0</v>
      </c>
      <c r="F1612" s="1">
        <v>0.0</v>
      </c>
    </row>
    <row r="1613">
      <c r="A1613" s="1" t="s">
        <v>2028</v>
      </c>
      <c r="B1613" s="1">
        <v>25.0</v>
      </c>
      <c r="C1613" s="1">
        <v>0.0</v>
      </c>
      <c r="D1613" s="1">
        <v>0.0</v>
      </c>
      <c r="E1613" s="1">
        <v>0.0</v>
      </c>
      <c r="F1613" s="1">
        <v>0.0</v>
      </c>
    </row>
    <row r="1614">
      <c r="A1614" s="1" t="s">
        <v>631</v>
      </c>
      <c r="B1614" s="1">
        <v>84.0</v>
      </c>
      <c r="C1614" s="1">
        <v>0.0</v>
      </c>
      <c r="D1614" s="1">
        <v>0.0</v>
      </c>
      <c r="E1614" s="1">
        <v>0.0</v>
      </c>
      <c r="F1614" s="1">
        <v>0.0</v>
      </c>
    </row>
    <row r="1615">
      <c r="A1615" s="1" t="s">
        <v>1837</v>
      </c>
      <c r="B1615" s="1">
        <v>73.0</v>
      </c>
      <c r="C1615" s="1">
        <v>0.0</v>
      </c>
      <c r="D1615" s="1">
        <v>0.0</v>
      </c>
      <c r="E1615" s="1">
        <v>0.0</v>
      </c>
      <c r="F1615" s="1">
        <v>0.0</v>
      </c>
    </row>
    <row r="1616">
      <c r="A1616" s="1" t="s">
        <v>810</v>
      </c>
      <c r="B1616" s="1">
        <v>23.0</v>
      </c>
      <c r="C1616" s="1">
        <v>0.0</v>
      </c>
      <c r="D1616" s="1">
        <v>0.0</v>
      </c>
      <c r="E1616" s="1">
        <v>0.0</v>
      </c>
      <c r="F1616" s="1">
        <v>0.0</v>
      </c>
    </row>
    <row r="1617">
      <c r="A1617" s="1" t="s">
        <v>1198</v>
      </c>
      <c r="B1617" s="1">
        <v>15.0</v>
      </c>
      <c r="C1617" s="1">
        <v>0.0</v>
      </c>
      <c r="D1617" s="1">
        <v>0.0</v>
      </c>
      <c r="E1617" s="1">
        <v>0.0</v>
      </c>
      <c r="F1617" s="1">
        <v>0.0</v>
      </c>
    </row>
    <row r="1618">
      <c r="A1618" s="1" t="s">
        <v>1790</v>
      </c>
      <c r="B1618" s="1">
        <v>6.0</v>
      </c>
      <c r="C1618" s="1">
        <v>0.0</v>
      </c>
      <c r="D1618" s="1">
        <v>0.0</v>
      </c>
      <c r="E1618" s="1">
        <v>0.0</v>
      </c>
      <c r="F1618" s="1">
        <v>0.0</v>
      </c>
    </row>
    <row r="1619">
      <c r="A1619" s="1" t="s">
        <v>444</v>
      </c>
      <c r="B1619" s="1">
        <v>31.0</v>
      </c>
      <c r="C1619" s="1">
        <v>0.0</v>
      </c>
      <c r="D1619" s="1">
        <v>0.0</v>
      </c>
      <c r="E1619" s="1">
        <v>0.0</v>
      </c>
      <c r="F1619" s="1">
        <v>0.0</v>
      </c>
    </row>
    <row r="1620">
      <c r="A1620" s="1" t="s">
        <v>2034</v>
      </c>
      <c r="B1620" s="1">
        <v>44.0</v>
      </c>
      <c r="C1620" s="1">
        <v>0.0</v>
      </c>
      <c r="D1620" s="1">
        <v>0.0</v>
      </c>
      <c r="E1620" s="1">
        <v>0.0</v>
      </c>
      <c r="F1620" s="1">
        <v>0.0</v>
      </c>
    </row>
    <row r="1621">
      <c r="A1621" s="1" t="s">
        <v>1317</v>
      </c>
      <c r="B1621" s="1">
        <v>10.0</v>
      </c>
      <c r="C1621" s="1">
        <v>0.0</v>
      </c>
      <c r="D1621" s="1">
        <v>0.0</v>
      </c>
      <c r="E1621" s="1">
        <v>0.0</v>
      </c>
      <c r="F1621" s="1">
        <v>0.0</v>
      </c>
    </row>
    <row r="1622">
      <c r="A1622" s="1" t="s">
        <v>2075</v>
      </c>
      <c r="B1622" s="1">
        <v>132.0</v>
      </c>
      <c r="C1622" s="1">
        <v>0.0</v>
      </c>
      <c r="D1622" s="1">
        <v>0.0</v>
      </c>
      <c r="E1622" s="1">
        <v>0.0</v>
      </c>
      <c r="F1622" s="1">
        <v>0.0</v>
      </c>
    </row>
    <row r="1623">
      <c r="A1623" s="1" t="s">
        <v>1466</v>
      </c>
      <c r="B1623" s="1">
        <v>30.0</v>
      </c>
      <c r="C1623" s="1">
        <v>0.0</v>
      </c>
      <c r="D1623" s="1">
        <v>0.0</v>
      </c>
      <c r="E1623" s="1">
        <v>0.0</v>
      </c>
      <c r="F1623" s="1">
        <v>0.0</v>
      </c>
    </row>
    <row r="1624">
      <c r="A1624" s="1" t="s">
        <v>2045</v>
      </c>
      <c r="B1624" s="1">
        <v>51.0</v>
      </c>
      <c r="C1624" s="1">
        <v>0.0</v>
      </c>
      <c r="D1624" s="1">
        <v>0.0</v>
      </c>
      <c r="E1624" s="1">
        <v>0.0</v>
      </c>
      <c r="F1624" s="1">
        <v>0.0</v>
      </c>
    </row>
    <row r="1625">
      <c r="A1625" s="1" t="s">
        <v>584</v>
      </c>
      <c r="B1625" s="1">
        <v>24.0</v>
      </c>
      <c r="C1625" s="1">
        <v>0.0</v>
      </c>
      <c r="D1625" s="1">
        <v>0.0</v>
      </c>
      <c r="E1625" s="1">
        <v>0.0</v>
      </c>
      <c r="F1625" s="1">
        <v>0.0</v>
      </c>
    </row>
    <row r="1626">
      <c r="A1626" s="1" t="s">
        <v>991</v>
      </c>
      <c r="B1626" s="1">
        <v>24.0</v>
      </c>
      <c r="C1626" s="1">
        <v>0.0</v>
      </c>
      <c r="D1626" s="1">
        <v>0.0</v>
      </c>
      <c r="E1626" s="1">
        <v>0.0</v>
      </c>
      <c r="F1626" s="1">
        <v>0.0</v>
      </c>
    </row>
    <row r="1627">
      <c r="A1627" s="1" t="s">
        <v>1150</v>
      </c>
      <c r="B1627" s="1">
        <v>23.0</v>
      </c>
      <c r="C1627" s="1">
        <v>0.0</v>
      </c>
      <c r="D1627" s="1">
        <v>0.0</v>
      </c>
      <c r="E1627" s="1">
        <v>0.0</v>
      </c>
      <c r="F1627" s="1">
        <v>0.0</v>
      </c>
    </row>
    <row r="1628">
      <c r="A1628" s="1" t="s">
        <v>888</v>
      </c>
      <c r="B1628" s="1">
        <v>26.0</v>
      </c>
      <c r="C1628" s="1">
        <v>0.0</v>
      </c>
      <c r="D1628" s="1">
        <v>0.0</v>
      </c>
      <c r="E1628" s="1">
        <v>0.0</v>
      </c>
      <c r="F1628" s="1">
        <v>0.0</v>
      </c>
    </row>
    <row r="1629">
      <c r="A1629" s="1" t="s">
        <v>657</v>
      </c>
      <c r="B1629" s="1">
        <v>23.0</v>
      </c>
      <c r="C1629" s="1">
        <v>0.0</v>
      </c>
      <c r="D1629" s="1">
        <v>0.0</v>
      </c>
      <c r="E1629" s="1">
        <v>0.0</v>
      </c>
      <c r="F1629" s="1">
        <v>0.0</v>
      </c>
    </row>
    <row r="1630">
      <c r="A1630" s="1" t="s">
        <v>1626</v>
      </c>
      <c r="B1630" s="1">
        <v>35.0</v>
      </c>
      <c r="C1630" s="1">
        <v>0.0</v>
      </c>
      <c r="D1630" s="1">
        <v>0.0</v>
      </c>
      <c r="E1630" s="1">
        <v>0.0</v>
      </c>
      <c r="F1630" s="1">
        <v>0.0</v>
      </c>
    </row>
    <row r="1631">
      <c r="A1631" s="1" t="s">
        <v>1814</v>
      </c>
      <c r="B1631" s="1">
        <v>29.0</v>
      </c>
      <c r="C1631" s="1">
        <v>0.0</v>
      </c>
      <c r="D1631" s="1">
        <v>0.0</v>
      </c>
      <c r="E1631" s="1">
        <v>0.0</v>
      </c>
      <c r="F1631" s="1">
        <v>0.0</v>
      </c>
    </row>
    <row r="1632">
      <c r="A1632" s="1" t="s">
        <v>1194</v>
      </c>
      <c r="B1632" s="1">
        <v>31.0</v>
      </c>
      <c r="C1632" s="1">
        <v>0.0</v>
      </c>
      <c r="D1632" s="1">
        <v>0.0</v>
      </c>
      <c r="E1632" s="1">
        <v>0.0</v>
      </c>
      <c r="F1632" s="1">
        <v>0.0</v>
      </c>
    </row>
    <row r="1633">
      <c r="A1633" s="1" t="s">
        <v>1262</v>
      </c>
      <c r="B1633" s="1">
        <v>19.0</v>
      </c>
      <c r="C1633" s="1">
        <v>0.0</v>
      </c>
      <c r="D1633" s="1">
        <v>0.0</v>
      </c>
      <c r="E1633" s="1">
        <v>0.0</v>
      </c>
      <c r="F1633" s="1">
        <v>0.0</v>
      </c>
    </row>
    <row r="1634">
      <c r="A1634" s="1" t="s">
        <v>1339</v>
      </c>
      <c r="B1634" s="1">
        <v>62.0</v>
      </c>
      <c r="C1634" s="1">
        <v>0.0</v>
      </c>
      <c r="D1634" s="1">
        <v>0.0</v>
      </c>
      <c r="E1634" s="1">
        <v>0.0</v>
      </c>
      <c r="F1634" s="1">
        <v>0.0</v>
      </c>
    </row>
    <row r="1635">
      <c r="A1635" s="1" t="s">
        <v>1768</v>
      </c>
      <c r="B1635" s="1">
        <v>40.0</v>
      </c>
      <c r="C1635" s="1">
        <v>0.0</v>
      </c>
      <c r="D1635" s="1">
        <v>0.0</v>
      </c>
      <c r="E1635" s="1">
        <v>0.0</v>
      </c>
      <c r="F1635" s="1">
        <v>0.0</v>
      </c>
    </row>
    <row r="1636">
      <c r="A1636" s="1" t="s">
        <v>930</v>
      </c>
      <c r="B1636" s="1">
        <v>36.0</v>
      </c>
      <c r="C1636" s="1">
        <v>0.0</v>
      </c>
      <c r="D1636" s="1">
        <v>0.0</v>
      </c>
      <c r="E1636" s="1">
        <v>0.0</v>
      </c>
      <c r="F1636" s="1">
        <v>0.0</v>
      </c>
    </row>
    <row r="1637">
      <c r="A1637" s="1" t="s">
        <v>558</v>
      </c>
      <c r="B1637" s="1">
        <v>50.0</v>
      </c>
      <c r="C1637" s="1">
        <v>0.0</v>
      </c>
      <c r="D1637" s="1">
        <v>0.0</v>
      </c>
      <c r="E1637" s="1">
        <v>0.0</v>
      </c>
      <c r="F1637" s="1">
        <v>0.0</v>
      </c>
    </row>
    <row r="1638">
      <c r="A1638" s="1" t="s">
        <v>1353</v>
      </c>
      <c r="B1638" s="1">
        <v>34.0</v>
      </c>
      <c r="C1638" s="1">
        <v>0.0</v>
      </c>
      <c r="D1638" s="1">
        <v>0.0</v>
      </c>
      <c r="E1638" s="1">
        <v>0.0</v>
      </c>
      <c r="F1638" s="1">
        <v>0.0</v>
      </c>
    </row>
    <row r="1639">
      <c r="A1639" s="1" t="s">
        <v>941</v>
      </c>
      <c r="B1639" s="1">
        <v>40.0</v>
      </c>
      <c r="C1639" s="1">
        <v>0.0</v>
      </c>
      <c r="D1639" s="1">
        <v>0.0</v>
      </c>
      <c r="E1639" s="1">
        <v>0.0</v>
      </c>
      <c r="F1639" s="1">
        <v>0.0</v>
      </c>
    </row>
    <row r="1640">
      <c r="A1640" s="1" t="s">
        <v>1382</v>
      </c>
      <c r="B1640" s="1">
        <v>109.0</v>
      </c>
      <c r="C1640" s="1">
        <v>0.0</v>
      </c>
      <c r="D1640" s="1">
        <v>0.0</v>
      </c>
      <c r="E1640" s="1">
        <v>0.0</v>
      </c>
      <c r="F1640" s="1">
        <v>0.0</v>
      </c>
    </row>
    <row r="1641">
      <c r="A1641" s="1" t="s">
        <v>961</v>
      </c>
      <c r="B1641" s="1">
        <v>33.0</v>
      </c>
      <c r="C1641" s="1">
        <v>0.0</v>
      </c>
      <c r="D1641" s="1">
        <v>0.0</v>
      </c>
      <c r="E1641" s="1">
        <v>0.0</v>
      </c>
      <c r="F1641" s="1">
        <v>0.0</v>
      </c>
    </row>
    <row r="1642">
      <c r="A1642" s="1" t="s">
        <v>957</v>
      </c>
      <c r="B1642" s="1">
        <v>11.0</v>
      </c>
      <c r="C1642" s="1">
        <v>0.0</v>
      </c>
      <c r="D1642" s="1">
        <v>0.0</v>
      </c>
      <c r="E1642" s="1">
        <v>0.0</v>
      </c>
      <c r="F1642" s="1">
        <v>0.0</v>
      </c>
    </row>
    <row r="1643">
      <c r="A1643" s="1" t="s">
        <v>229</v>
      </c>
      <c r="B1643" s="1">
        <v>63.0</v>
      </c>
      <c r="C1643" s="1">
        <v>0.0</v>
      </c>
      <c r="D1643" s="1">
        <v>0.0</v>
      </c>
      <c r="E1643" s="1">
        <v>0.0</v>
      </c>
      <c r="F1643" s="1">
        <v>0.0</v>
      </c>
    </row>
    <row r="1644">
      <c r="A1644" s="1" t="s">
        <v>1138</v>
      </c>
      <c r="B1644" s="1">
        <v>10.0</v>
      </c>
      <c r="C1644" s="1">
        <v>0.0</v>
      </c>
      <c r="D1644" s="1">
        <v>0.0</v>
      </c>
      <c r="E1644" s="1">
        <v>0.0</v>
      </c>
      <c r="F1644" s="1">
        <v>0.0</v>
      </c>
    </row>
    <row r="1645">
      <c r="A1645" s="1" t="s">
        <v>889</v>
      </c>
      <c r="B1645" s="1">
        <v>45.0</v>
      </c>
      <c r="C1645" s="1">
        <v>0.0</v>
      </c>
      <c r="D1645" s="1">
        <v>0.0</v>
      </c>
      <c r="E1645" s="1">
        <v>0.0</v>
      </c>
      <c r="F1645" s="1">
        <v>0.0</v>
      </c>
    </row>
    <row r="1646">
      <c r="A1646" s="1" t="s">
        <v>710</v>
      </c>
      <c r="B1646" s="1">
        <v>29.0</v>
      </c>
      <c r="C1646" s="1">
        <v>0.0</v>
      </c>
      <c r="D1646" s="1">
        <v>0.0</v>
      </c>
      <c r="E1646" s="1">
        <v>0.0</v>
      </c>
      <c r="F1646" s="1">
        <v>0.0</v>
      </c>
    </row>
    <row r="1647">
      <c r="A1647" s="1" t="s">
        <v>1010</v>
      </c>
      <c r="B1647" s="1">
        <v>50.0</v>
      </c>
      <c r="C1647" s="1">
        <v>0.0</v>
      </c>
      <c r="D1647" s="1">
        <v>0.0</v>
      </c>
      <c r="E1647" s="1">
        <v>0.0</v>
      </c>
      <c r="F1647" s="1">
        <v>0.0</v>
      </c>
    </row>
    <row r="1648">
      <c r="A1648" s="1" t="s">
        <v>227</v>
      </c>
      <c r="B1648" s="1">
        <v>14.0</v>
      </c>
      <c r="C1648" s="1">
        <v>0.0</v>
      </c>
      <c r="D1648" s="1">
        <v>0.0</v>
      </c>
      <c r="E1648" s="1">
        <v>0.0</v>
      </c>
      <c r="F1648" s="1">
        <v>0.0</v>
      </c>
    </row>
    <row r="1649">
      <c r="A1649" s="1" t="s">
        <v>213</v>
      </c>
      <c r="B1649" s="1">
        <v>12.0</v>
      </c>
      <c r="C1649" s="1">
        <v>0.0</v>
      </c>
      <c r="D1649" s="1">
        <v>0.0</v>
      </c>
      <c r="E1649" s="1">
        <v>0.0</v>
      </c>
      <c r="F1649" s="1">
        <v>0.0</v>
      </c>
    </row>
    <row r="1650">
      <c r="A1650" s="1" t="s">
        <v>833</v>
      </c>
      <c r="B1650" s="1">
        <v>26.0</v>
      </c>
      <c r="C1650" s="1">
        <v>0.0</v>
      </c>
      <c r="D1650" s="1">
        <v>0.0</v>
      </c>
      <c r="E1650" s="1">
        <v>0.0</v>
      </c>
      <c r="F1650" s="1">
        <v>0.0</v>
      </c>
    </row>
    <row r="1651">
      <c r="A1651" s="1" t="s">
        <v>2088</v>
      </c>
      <c r="B1651" s="1">
        <v>73.0</v>
      </c>
      <c r="C1651" s="1">
        <v>0.0</v>
      </c>
      <c r="D1651" s="1">
        <v>0.0</v>
      </c>
      <c r="E1651" s="1">
        <v>0.0</v>
      </c>
      <c r="F1651" s="1">
        <v>0.0</v>
      </c>
    </row>
    <row r="1652">
      <c r="A1652" s="1" t="s">
        <v>2037</v>
      </c>
      <c r="B1652" s="1">
        <v>6.0</v>
      </c>
      <c r="C1652" s="1">
        <v>0.0</v>
      </c>
      <c r="D1652" s="1">
        <v>0.0</v>
      </c>
      <c r="E1652" s="1">
        <v>0.0</v>
      </c>
      <c r="F1652" s="1">
        <v>0.0</v>
      </c>
    </row>
    <row r="1653">
      <c r="A1653" s="1" t="s">
        <v>1055</v>
      </c>
      <c r="B1653" s="1">
        <v>7.0</v>
      </c>
      <c r="C1653" s="1">
        <v>0.0</v>
      </c>
      <c r="D1653" s="1">
        <v>0.0</v>
      </c>
      <c r="E1653" s="1">
        <v>0.0</v>
      </c>
      <c r="F1653" s="1">
        <v>0.0</v>
      </c>
    </row>
    <row r="1654">
      <c r="A1654" s="1" t="s">
        <v>1930</v>
      </c>
      <c r="B1654" s="1">
        <v>23.0</v>
      </c>
      <c r="C1654" s="1">
        <v>0.0</v>
      </c>
      <c r="D1654" s="1">
        <v>0.0</v>
      </c>
      <c r="E1654" s="1">
        <v>0.0</v>
      </c>
      <c r="F1654" s="1">
        <v>0.0</v>
      </c>
    </row>
    <row r="1655">
      <c r="A1655" s="1" t="s">
        <v>1719</v>
      </c>
      <c r="B1655" s="1">
        <v>97.0</v>
      </c>
      <c r="C1655" s="1">
        <v>0.0</v>
      </c>
      <c r="D1655" s="1">
        <v>0.0</v>
      </c>
      <c r="E1655" s="1">
        <v>0.0</v>
      </c>
      <c r="F1655" s="1">
        <v>0.0</v>
      </c>
    </row>
    <row r="1656">
      <c r="A1656" s="1" t="s">
        <v>489</v>
      </c>
      <c r="B1656" s="1">
        <v>17.0</v>
      </c>
      <c r="C1656" s="1">
        <v>0.0</v>
      </c>
      <c r="D1656" s="1">
        <v>0.0</v>
      </c>
      <c r="E1656" s="1">
        <v>0.0</v>
      </c>
      <c r="F1656" s="1">
        <v>0.0</v>
      </c>
    </row>
    <row r="1657">
      <c r="A1657" s="1" t="s">
        <v>282</v>
      </c>
      <c r="B1657" s="1">
        <v>55.0</v>
      </c>
      <c r="C1657" s="1">
        <v>0.0</v>
      </c>
      <c r="D1657" s="1">
        <v>0.0</v>
      </c>
      <c r="E1657" s="1">
        <v>0.0</v>
      </c>
      <c r="F1657" s="1">
        <v>0.0</v>
      </c>
    </row>
    <row r="1658">
      <c r="A1658" s="1" t="s">
        <v>2002</v>
      </c>
      <c r="B1658" s="1">
        <v>53.0</v>
      </c>
      <c r="C1658" s="1">
        <v>0.0</v>
      </c>
      <c r="D1658" s="1">
        <v>0.0</v>
      </c>
      <c r="E1658" s="1">
        <v>0.0</v>
      </c>
      <c r="F1658" s="1">
        <v>0.0</v>
      </c>
    </row>
    <row r="1659">
      <c r="A1659" s="1" t="s">
        <v>1593</v>
      </c>
      <c r="B1659" s="1">
        <v>102.0</v>
      </c>
      <c r="C1659" s="1">
        <v>0.0</v>
      </c>
      <c r="D1659" s="1">
        <v>0.0</v>
      </c>
      <c r="E1659" s="1">
        <v>0.0</v>
      </c>
      <c r="F1659" s="1">
        <v>0.0</v>
      </c>
    </row>
    <row r="1660">
      <c r="A1660" s="1" t="s">
        <v>319</v>
      </c>
      <c r="B1660" s="1">
        <v>40.0</v>
      </c>
      <c r="C1660" s="1">
        <v>0.0</v>
      </c>
      <c r="D1660" s="1">
        <v>0.0</v>
      </c>
      <c r="E1660" s="1">
        <v>0.0</v>
      </c>
      <c r="F1660" s="1">
        <v>0.0</v>
      </c>
    </row>
    <row r="1661">
      <c r="A1661" s="1" t="s">
        <v>2011</v>
      </c>
      <c r="B1661" s="1">
        <v>18.0</v>
      </c>
      <c r="C1661" s="1">
        <v>0.0</v>
      </c>
      <c r="D1661" s="1">
        <v>0.0</v>
      </c>
      <c r="E1661" s="1">
        <v>0.0</v>
      </c>
      <c r="F1661" s="1">
        <v>0.0</v>
      </c>
    </row>
    <row r="1662">
      <c r="A1662" s="1" t="s">
        <v>491</v>
      </c>
      <c r="B1662" s="1">
        <v>46.0</v>
      </c>
      <c r="C1662" s="1">
        <v>0.0</v>
      </c>
      <c r="D1662" s="1">
        <v>0.0</v>
      </c>
      <c r="E1662" s="1">
        <v>0.0</v>
      </c>
      <c r="F1662" s="1">
        <v>0.0</v>
      </c>
    </row>
    <row r="1663">
      <c r="A1663" s="1" t="s">
        <v>1789</v>
      </c>
      <c r="B1663" s="1">
        <v>38.0</v>
      </c>
      <c r="C1663" s="1">
        <v>0.0</v>
      </c>
      <c r="D1663" s="1">
        <v>0.0</v>
      </c>
      <c r="E1663" s="1">
        <v>0.0</v>
      </c>
      <c r="F1663" s="1">
        <v>0.0</v>
      </c>
    </row>
    <row r="1664">
      <c r="A1664" s="1" t="s">
        <v>803</v>
      </c>
      <c r="B1664" s="1">
        <v>12.0</v>
      </c>
      <c r="C1664" s="1">
        <v>0.0</v>
      </c>
      <c r="D1664" s="1">
        <v>0.0</v>
      </c>
      <c r="E1664" s="1">
        <v>0.0</v>
      </c>
      <c r="F1664" s="1">
        <v>0.0</v>
      </c>
    </row>
    <row r="1665">
      <c r="A1665" s="1" t="s">
        <v>689</v>
      </c>
      <c r="B1665" s="1">
        <v>157.0</v>
      </c>
      <c r="C1665" s="1">
        <v>0.0</v>
      </c>
      <c r="D1665" s="1">
        <v>0.0</v>
      </c>
      <c r="E1665" s="1">
        <v>0.0</v>
      </c>
      <c r="F1665" s="1">
        <v>0.0</v>
      </c>
    </row>
    <row r="1666">
      <c r="A1666" s="1" t="s">
        <v>190</v>
      </c>
      <c r="B1666" s="1">
        <v>11.0</v>
      </c>
      <c r="C1666" s="1">
        <v>0.0</v>
      </c>
      <c r="D1666" s="1">
        <v>0.0</v>
      </c>
      <c r="E1666" s="1">
        <v>0.0</v>
      </c>
      <c r="F1666" s="1">
        <v>0.0</v>
      </c>
    </row>
    <row r="1667">
      <c r="A1667" s="1" t="s">
        <v>1637</v>
      </c>
      <c r="B1667" s="1">
        <v>49.0</v>
      </c>
      <c r="C1667" s="1">
        <v>0.0</v>
      </c>
      <c r="D1667" s="1">
        <v>0.0</v>
      </c>
      <c r="E1667" s="1">
        <v>0.0</v>
      </c>
      <c r="F1667" s="1">
        <v>0.0</v>
      </c>
    </row>
    <row r="1668">
      <c r="A1668" s="1" t="s">
        <v>1187</v>
      </c>
      <c r="B1668" s="1">
        <v>35.0</v>
      </c>
      <c r="C1668" s="1">
        <v>0.0</v>
      </c>
      <c r="D1668" s="1">
        <v>0.0</v>
      </c>
      <c r="E1668" s="1">
        <v>0.0</v>
      </c>
      <c r="F1668" s="1">
        <v>0.0</v>
      </c>
    </row>
    <row r="1669">
      <c r="A1669" s="1" t="s">
        <v>603</v>
      </c>
      <c r="B1669" s="1">
        <v>35.0</v>
      </c>
      <c r="C1669" s="1">
        <v>0.0</v>
      </c>
      <c r="D1669" s="1">
        <v>0.0</v>
      </c>
      <c r="E1669" s="1">
        <v>0.0</v>
      </c>
      <c r="F1669" s="1">
        <v>0.0</v>
      </c>
    </row>
    <row r="1670">
      <c r="A1670" s="1" t="s">
        <v>777</v>
      </c>
      <c r="B1670" s="1">
        <v>34.0</v>
      </c>
      <c r="C1670" s="1">
        <v>0.0</v>
      </c>
      <c r="D1670" s="1">
        <v>0.0</v>
      </c>
      <c r="E1670" s="1">
        <v>0.0</v>
      </c>
      <c r="F1670" s="1">
        <v>0.0</v>
      </c>
    </row>
    <row r="1671">
      <c r="A1671" s="1" t="s">
        <v>1156</v>
      </c>
      <c r="B1671" s="1">
        <v>7.0</v>
      </c>
      <c r="C1671" s="1">
        <v>0.0</v>
      </c>
      <c r="D1671" s="1">
        <v>0.0</v>
      </c>
      <c r="E1671" s="1">
        <v>0.0</v>
      </c>
      <c r="F1671" s="1">
        <v>0.0</v>
      </c>
    </row>
    <row r="1672">
      <c r="A1672" s="1" t="s">
        <v>659</v>
      </c>
      <c r="B1672" s="1">
        <v>18.0</v>
      </c>
      <c r="C1672" s="1">
        <v>0.0</v>
      </c>
      <c r="D1672" s="1">
        <v>0.0</v>
      </c>
      <c r="E1672" s="1">
        <v>0.0</v>
      </c>
      <c r="F1672" s="1">
        <v>0.0</v>
      </c>
    </row>
    <row r="1673">
      <c r="A1673" s="1" t="s">
        <v>800</v>
      </c>
      <c r="B1673" s="1">
        <v>155.0</v>
      </c>
      <c r="C1673" s="1">
        <v>1.0</v>
      </c>
      <c r="D1673" s="1">
        <v>0.0</v>
      </c>
      <c r="E1673" s="1">
        <v>0.0</v>
      </c>
      <c r="F1673" s="1">
        <v>0.0</v>
      </c>
    </row>
    <row r="1674">
      <c r="A1674" s="1" t="s">
        <v>1269</v>
      </c>
      <c r="B1674" s="1">
        <v>26.0</v>
      </c>
      <c r="C1674" s="1">
        <v>0.0</v>
      </c>
      <c r="D1674" s="1">
        <v>0.0</v>
      </c>
      <c r="E1674" s="1">
        <v>0.0</v>
      </c>
      <c r="F1674" s="1">
        <v>0.0</v>
      </c>
    </row>
    <row r="1675">
      <c r="A1675" s="1" t="s">
        <v>1243</v>
      </c>
      <c r="B1675" s="1">
        <v>13.0</v>
      </c>
      <c r="C1675" s="1">
        <v>0.0</v>
      </c>
      <c r="D1675" s="1">
        <v>0.0</v>
      </c>
      <c r="E1675" s="1">
        <v>0.0</v>
      </c>
      <c r="F1675" s="1">
        <v>0.0</v>
      </c>
    </row>
    <row r="1676">
      <c r="A1676" s="1" t="s">
        <v>1572</v>
      </c>
      <c r="B1676" s="1">
        <v>55.0</v>
      </c>
      <c r="C1676" s="1">
        <v>0.0</v>
      </c>
      <c r="D1676" s="1">
        <v>0.0</v>
      </c>
      <c r="E1676" s="1">
        <v>0.0</v>
      </c>
      <c r="F1676" s="1">
        <v>0.0</v>
      </c>
    </row>
    <row r="1677">
      <c r="A1677" s="1" t="s">
        <v>1005</v>
      </c>
      <c r="B1677" s="1">
        <v>7.0</v>
      </c>
      <c r="C1677" s="1">
        <v>0.0</v>
      </c>
      <c r="D1677" s="1">
        <v>0.0</v>
      </c>
      <c r="E1677" s="1">
        <v>0.0</v>
      </c>
      <c r="F1677" s="1">
        <v>0.0</v>
      </c>
    </row>
    <row r="1678">
      <c r="A1678" s="1" t="s">
        <v>473</v>
      </c>
      <c r="B1678" s="1">
        <v>17.0</v>
      </c>
      <c r="C1678" s="1">
        <v>0.0</v>
      </c>
      <c r="D1678" s="1">
        <v>0.0</v>
      </c>
      <c r="E1678" s="1">
        <v>0.0</v>
      </c>
      <c r="F1678" s="1">
        <v>0.0</v>
      </c>
    </row>
    <row r="1679">
      <c r="A1679" s="1" t="s">
        <v>328</v>
      </c>
      <c r="B1679" s="1">
        <v>57.0</v>
      </c>
      <c r="C1679" s="1">
        <v>0.0</v>
      </c>
      <c r="D1679" s="1">
        <v>0.0</v>
      </c>
      <c r="E1679" s="1">
        <v>0.0</v>
      </c>
      <c r="F1679" s="1">
        <v>0.0</v>
      </c>
    </row>
    <row r="1680">
      <c r="A1680" s="1" t="s">
        <v>214</v>
      </c>
      <c r="B1680" s="1">
        <v>59.0</v>
      </c>
      <c r="C1680" s="1">
        <v>0.0</v>
      </c>
      <c r="D1680" s="1">
        <v>0.0</v>
      </c>
      <c r="E1680" s="1">
        <v>0.0</v>
      </c>
      <c r="F1680" s="1">
        <v>0.0</v>
      </c>
    </row>
    <row r="1681">
      <c r="A1681" s="1" t="s">
        <v>1952</v>
      </c>
      <c r="B1681" s="1">
        <v>156.0</v>
      </c>
      <c r="C1681" s="1">
        <v>0.0</v>
      </c>
      <c r="D1681" s="1">
        <v>0.0</v>
      </c>
      <c r="E1681" s="1">
        <v>0.0</v>
      </c>
      <c r="F1681" s="1">
        <v>0.0</v>
      </c>
    </row>
    <row r="1682">
      <c r="A1682" s="1" t="s">
        <v>811</v>
      </c>
      <c r="B1682" s="1">
        <v>28.0</v>
      </c>
      <c r="C1682" s="1">
        <v>0.0</v>
      </c>
      <c r="D1682" s="1">
        <v>0.0</v>
      </c>
      <c r="E1682" s="1">
        <v>0.0</v>
      </c>
      <c r="F1682" s="1">
        <v>0.0</v>
      </c>
    </row>
    <row r="1683">
      <c r="A1683" s="1" t="s">
        <v>359</v>
      </c>
      <c r="B1683" s="1">
        <v>99.0</v>
      </c>
      <c r="C1683" s="1">
        <v>0.0</v>
      </c>
      <c r="D1683" s="1">
        <v>0.0</v>
      </c>
      <c r="E1683" s="1">
        <v>0.0</v>
      </c>
      <c r="F1683" s="1">
        <v>0.0</v>
      </c>
    </row>
    <row r="1684">
      <c r="A1684" s="1" t="s">
        <v>1462</v>
      </c>
      <c r="B1684" s="1">
        <v>51.0</v>
      </c>
      <c r="C1684" s="1">
        <v>0.0</v>
      </c>
      <c r="D1684" s="1">
        <v>0.0</v>
      </c>
      <c r="E1684" s="1">
        <v>0.0</v>
      </c>
      <c r="F1684" s="1">
        <v>0.0</v>
      </c>
    </row>
    <row r="1685">
      <c r="A1685" s="1" t="s">
        <v>1981</v>
      </c>
      <c r="B1685" s="1">
        <v>10.0</v>
      </c>
      <c r="C1685" s="1">
        <v>0.0</v>
      </c>
      <c r="D1685" s="1">
        <v>0.0</v>
      </c>
      <c r="E1685" s="1">
        <v>0.0</v>
      </c>
      <c r="F1685" s="1">
        <v>0.0</v>
      </c>
    </row>
    <row r="1686">
      <c r="A1686" s="1" t="s">
        <v>948</v>
      </c>
      <c r="B1686" s="1">
        <v>24.0</v>
      </c>
      <c r="C1686" s="1">
        <v>0.0</v>
      </c>
      <c r="D1686" s="1">
        <v>0.0</v>
      </c>
      <c r="E1686" s="1">
        <v>0.0</v>
      </c>
      <c r="F1686" s="1">
        <v>0.0</v>
      </c>
    </row>
    <row r="1687">
      <c r="A1687" s="1" t="s">
        <v>1103</v>
      </c>
      <c r="B1687" s="1">
        <v>21.0</v>
      </c>
      <c r="C1687" s="1">
        <v>0.0</v>
      </c>
      <c r="D1687" s="1">
        <v>0.0</v>
      </c>
      <c r="E1687" s="1">
        <v>0.0</v>
      </c>
      <c r="F1687" s="1">
        <v>0.0</v>
      </c>
    </row>
    <row r="1688">
      <c r="A1688" s="1" t="s">
        <v>1200</v>
      </c>
      <c r="B1688" s="1">
        <v>37.0</v>
      </c>
      <c r="C1688" s="1">
        <v>0.0</v>
      </c>
      <c r="D1688" s="1">
        <v>0.0</v>
      </c>
      <c r="E1688" s="1">
        <v>0.0</v>
      </c>
      <c r="F1688" s="1">
        <v>0.0</v>
      </c>
    </row>
    <row r="1689">
      <c r="A1689" s="1" t="s">
        <v>729</v>
      </c>
      <c r="B1689" s="1">
        <v>42.0</v>
      </c>
      <c r="C1689" s="1">
        <v>0.0</v>
      </c>
      <c r="D1689" s="1">
        <v>0.0</v>
      </c>
      <c r="E1689" s="1">
        <v>0.0</v>
      </c>
      <c r="F1689" s="1">
        <v>0.0</v>
      </c>
    </row>
    <row r="1690">
      <c r="A1690" s="1" t="s">
        <v>313</v>
      </c>
      <c r="B1690" s="1">
        <v>20.0</v>
      </c>
      <c r="C1690" s="1">
        <v>0.0</v>
      </c>
      <c r="D1690" s="1">
        <v>0.0</v>
      </c>
      <c r="E1690" s="1">
        <v>0.0</v>
      </c>
      <c r="F1690" s="1">
        <v>0.0</v>
      </c>
    </row>
    <row r="1691">
      <c r="A1691" s="1" t="s">
        <v>1303</v>
      </c>
      <c r="B1691" s="1">
        <v>41.0</v>
      </c>
      <c r="C1691" s="1">
        <v>0.0</v>
      </c>
      <c r="D1691" s="1">
        <v>0.0</v>
      </c>
      <c r="E1691" s="1">
        <v>0.0</v>
      </c>
      <c r="F1691" s="1">
        <v>0.0</v>
      </c>
    </row>
    <row r="1692">
      <c r="A1692" s="1" t="s">
        <v>262</v>
      </c>
      <c r="B1692" s="1">
        <v>29.0</v>
      </c>
      <c r="C1692" s="1">
        <v>0.0</v>
      </c>
      <c r="D1692" s="1">
        <v>0.0</v>
      </c>
      <c r="E1692" s="1">
        <v>0.0</v>
      </c>
      <c r="F1692" s="1">
        <v>0.0</v>
      </c>
    </row>
    <row r="1693">
      <c r="A1693" s="1" t="s">
        <v>927</v>
      </c>
      <c r="B1693" s="1">
        <v>64.0</v>
      </c>
      <c r="C1693" s="1">
        <v>0.0</v>
      </c>
      <c r="D1693" s="1">
        <v>0.0</v>
      </c>
      <c r="E1693" s="1">
        <v>0.0</v>
      </c>
      <c r="F1693" s="1">
        <v>0.0</v>
      </c>
    </row>
    <row r="1694">
      <c r="A1694" s="1" t="s">
        <v>1373</v>
      </c>
      <c r="B1694" s="1">
        <v>42.0</v>
      </c>
      <c r="C1694" s="1">
        <v>0.0</v>
      </c>
      <c r="D1694" s="1">
        <v>0.0</v>
      </c>
      <c r="E1694" s="1">
        <v>0.0</v>
      </c>
      <c r="F1694" s="1">
        <v>0.0</v>
      </c>
    </row>
    <row r="1695">
      <c r="A1695" s="1" t="s">
        <v>1047</v>
      </c>
      <c r="B1695" s="1">
        <v>26.0</v>
      </c>
      <c r="C1695" s="1">
        <v>0.0</v>
      </c>
      <c r="D1695" s="1">
        <v>0.0</v>
      </c>
      <c r="E1695" s="1">
        <v>0.0</v>
      </c>
      <c r="F1695" s="1">
        <v>0.0</v>
      </c>
    </row>
    <row r="1696">
      <c r="A1696" s="1" t="s">
        <v>382</v>
      </c>
      <c r="B1696" s="1">
        <v>71.0</v>
      </c>
      <c r="C1696" s="1">
        <v>0.0</v>
      </c>
      <c r="D1696" s="1">
        <v>0.0</v>
      </c>
      <c r="E1696" s="1">
        <v>0.0</v>
      </c>
      <c r="F1696" s="1">
        <v>0.0</v>
      </c>
    </row>
    <row r="1697">
      <c r="A1697" s="1" t="s">
        <v>1835</v>
      </c>
      <c r="B1697" s="1">
        <v>35.0</v>
      </c>
      <c r="C1697" s="1">
        <v>0.0</v>
      </c>
      <c r="D1697" s="1">
        <v>0.0</v>
      </c>
      <c r="E1697" s="1">
        <v>0.0</v>
      </c>
      <c r="F1697" s="1">
        <v>0.0</v>
      </c>
    </row>
    <row r="1698">
      <c r="A1698" s="1" t="s">
        <v>401</v>
      </c>
      <c r="B1698" s="1">
        <v>38.0</v>
      </c>
      <c r="C1698" s="1">
        <v>0.0</v>
      </c>
      <c r="D1698" s="1">
        <v>0.0</v>
      </c>
      <c r="E1698" s="1">
        <v>0.0</v>
      </c>
      <c r="F1698" s="1">
        <v>0.0</v>
      </c>
    </row>
    <row r="1699">
      <c r="A1699" s="1" t="s">
        <v>223</v>
      </c>
      <c r="B1699" s="1">
        <v>36.0</v>
      </c>
      <c r="C1699" s="1">
        <v>0.0</v>
      </c>
      <c r="D1699" s="1">
        <v>0.0</v>
      </c>
      <c r="E1699" s="1">
        <v>0.0</v>
      </c>
      <c r="F1699" s="1">
        <v>0.0</v>
      </c>
    </row>
    <row r="1700">
      <c r="A1700" s="1" t="s">
        <v>1836</v>
      </c>
      <c r="B1700" s="1">
        <v>43.0</v>
      </c>
      <c r="C1700" s="1">
        <v>0.0</v>
      </c>
      <c r="D1700" s="1">
        <v>0.0</v>
      </c>
      <c r="E1700" s="1">
        <v>0.0</v>
      </c>
      <c r="F1700" s="1">
        <v>0.0</v>
      </c>
    </row>
    <row r="1701">
      <c r="A1701" s="1" t="s">
        <v>1042</v>
      </c>
      <c r="B1701" s="1">
        <v>31.0</v>
      </c>
      <c r="C1701" s="1">
        <v>0.0</v>
      </c>
      <c r="D1701" s="1">
        <v>0.0</v>
      </c>
      <c r="E1701" s="1">
        <v>0.0</v>
      </c>
      <c r="F1701" s="1">
        <v>0.0</v>
      </c>
    </row>
    <row r="1702">
      <c r="A1702" s="1" t="s">
        <v>1875</v>
      </c>
      <c r="B1702" s="1">
        <v>57.0</v>
      </c>
      <c r="C1702" s="1">
        <v>0.0</v>
      </c>
      <c r="D1702" s="1">
        <v>0.0</v>
      </c>
      <c r="E1702" s="1">
        <v>0.0</v>
      </c>
      <c r="F1702" s="1">
        <v>0.0</v>
      </c>
    </row>
    <row r="1703">
      <c r="A1703" s="1" t="s">
        <v>872</v>
      </c>
      <c r="B1703" s="1">
        <v>32.0</v>
      </c>
      <c r="C1703" s="1">
        <v>0.0</v>
      </c>
      <c r="D1703" s="1">
        <v>0.0</v>
      </c>
      <c r="E1703" s="1">
        <v>0.0</v>
      </c>
      <c r="F1703" s="1">
        <v>0.0</v>
      </c>
    </row>
    <row r="1704">
      <c r="A1704" s="1" t="s">
        <v>1460</v>
      </c>
      <c r="B1704" s="1">
        <v>23.0</v>
      </c>
      <c r="C1704" s="1">
        <v>0.0</v>
      </c>
      <c r="D1704" s="1">
        <v>0.0</v>
      </c>
      <c r="E1704" s="1">
        <v>0.0</v>
      </c>
      <c r="F1704" s="1">
        <v>0.0</v>
      </c>
    </row>
    <row r="1705">
      <c r="A1705" s="1" t="s">
        <v>817</v>
      </c>
      <c r="B1705" s="1">
        <v>18.0</v>
      </c>
      <c r="C1705" s="1">
        <v>0.0</v>
      </c>
      <c r="D1705" s="1">
        <v>0.0</v>
      </c>
      <c r="E1705" s="1">
        <v>0.0</v>
      </c>
      <c r="F1705" s="1">
        <v>0.0</v>
      </c>
    </row>
    <row r="1706">
      <c r="A1706" s="1" t="s">
        <v>1860</v>
      </c>
      <c r="B1706" s="1">
        <v>9.0</v>
      </c>
      <c r="C1706" s="1">
        <v>0.0</v>
      </c>
      <c r="D1706" s="1">
        <v>0.0</v>
      </c>
      <c r="E1706" s="1">
        <v>0.0</v>
      </c>
      <c r="F1706" s="1">
        <v>0.0</v>
      </c>
    </row>
    <row r="1707">
      <c r="A1707" s="1" t="s">
        <v>711</v>
      </c>
      <c r="B1707" s="1">
        <v>19.0</v>
      </c>
      <c r="C1707" s="1">
        <v>0.0</v>
      </c>
      <c r="D1707" s="1">
        <v>0.0</v>
      </c>
      <c r="E1707" s="1">
        <v>0.0</v>
      </c>
      <c r="F1707" s="1">
        <v>0.0</v>
      </c>
    </row>
    <row r="1708">
      <c r="A1708" s="1" t="s">
        <v>1779</v>
      </c>
      <c r="B1708" s="1">
        <v>75.0</v>
      </c>
      <c r="C1708" s="1">
        <v>0.0</v>
      </c>
      <c r="D1708" s="1">
        <v>0.0</v>
      </c>
      <c r="E1708" s="1">
        <v>0.0</v>
      </c>
      <c r="F1708" s="1">
        <v>0.0</v>
      </c>
    </row>
    <row r="1709">
      <c r="A1709" s="1" t="s">
        <v>203</v>
      </c>
      <c r="B1709" s="1">
        <v>14.0</v>
      </c>
      <c r="C1709" s="1">
        <v>0.0</v>
      </c>
      <c r="D1709" s="1">
        <v>0.0</v>
      </c>
      <c r="E1709" s="1">
        <v>0.0</v>
      </c>
      <c r="F1709" s="1">
        <v>0.0</v>
      </c>
    </row>
    <row r="1710">
      <c r="A1710" s="1" t="s">
        <v>1070</v>
      </c>
      <c r="B1710" s="1">
        <v>8002.0</v>
      </c>
      <c r="C1710" s="1">
        <v>5148.0</v>
      </c>
      <c r="D1710" s="1">
        <v>11.0</v>
      </c>
      <c r="E1710" s="1">
        <v>59.0</v>
      </c>
      <c r="F1710" s="1">
        <v>9.0</v>
      </c>
    </row>
    <row r="1711">
      <c r="A1711" s="1" t="s">
        <v>1331</v>
      </c>
      <c r="B1711" s="1">
        <v>89.0</v>
      </c>
      <c r="C1711" s="1">
        <v>0.0</v>
      </c>
      <c r="D1711" s="1">
        <v>0.0</v>
      </c>
      <c r="E1711" s="1">
        <v>0.0</v>
      </c>
      <c r="F1711" s="1">
        <v>0.0</v>
      </c>
    </row>
    <row r="1712">
      <c r="A1712" s="1" t="s">
        <v>653</v>
      </c>
      <c r="B1712" s="1">
        <v>71.0</v>
      </c>
      <c r="C1712" s="1">
        <v>0.0</v>
      </c>
      <c r="D1712" s="1">
        <v>0.0</v>
      </c>
      <c r="E1712" s="1">
        <v>0.0</v>
      </c>
      <c r="F1712" s="1">
        <v>0.0</v>
      </c>
    </row>
    <row r="1713">
      <c r="A1713" s="1" t="s">
        <v>865</v>
      </c>
      <c r="B1713" s="1">
        <v>118.0</v>
      </c>
      <c r="C1713" s="1">
        <v>0.0</v>
      </c>
      <c r="D1713" s="1">
        <v>0.0</v>
      </c>
      <c r="E1713" s="1">
        <v>0.0</v>
      </c>
      <c r="F1713" s="1">
        <v>0.0</v>
      </c>
    </row>
    <row r="1714">
      <c r="A1714" s="1" t="s">
        <v>206</v>
      </c>
      <c r="B1714" s="1">
        <v>40.0</v>
      </c>
      <c r="C1714" s="1">
        <v>0.0</v>
      </c>
      <c r="D1714" s="1">
        <v>0.0</v>
      </c>
      <c r="E1714" s="1">
        <v>0.0</v>
      </c>
      <c r="F1714" s="1">
        <v>0.0</v>
      </c>
    </row>
    <row r="1715">
      <c r="A1715" s="1" t="s">
        <v>300</v>
      </c>
      <c r="B1715" s="1">
        <v>42.0</v>
      </c>
      <c r="C1715" s="1">
        <v>0.0</v>
      </c>
      <c r="D1715" s="1">
        <v>0.0</v>
      </c>
      <c r="E1715" s="1">
        <v>0.0</v>
      </c>
      <c r="F1715" s="1">
        <v>0.0</v>
      </c>
    </row>
    <row r="1716">
      <c r="A1716" s="1" t="s">
        <v>1146</v>
      </c>
      <c r="B1716" s="1">
        <v>17.0</v>
      </c>
      <c r="C1716" s="1">
        <v>0.0</v>
      </c>
      <c r="D1716" s="1">
        <v>0.0</v>
      </c>
      <c r="E1716" s="1">
        <v>0.0</v>
      </c>
      <c r="F1716" s="1">
        <v>0.0</v>
      </c>
    </row>
    <row r="1717">
      <c r="A1717" s="1" t="s">
        <v>266</v>
      </c>
      <c r="B1717" s="1">
        <v>15.0</v>
      </c>
      <c r="C1717" s="1">
        <v>0.0</v>
      </c>
      <c r="D1717" s="1">
        <v>0.0</v>
      </c>
      <c r="E1717" s="1">
        <v>0.0</v>
      </c>
      <c r="F1717" s="1">
        <v>0.0</v>
      </c>
    </row>
    <row r="1718">
      <c r="A1718" s="1" t="s">
        <v>1980</v>
      </c>
      <c r="B1718" s="1">
        <v>36.0</v>
      </c>
      <c r="C1718" s="1">
        <v>0.0</v>
      </c>
      <c r="D1718" s="1">
        <v>0.0</v>
      </c>
      <c r="E1718" s="1">
        <v>0.0</v>
      </c>
      <c r="F1718" s="1">
        <v>0.0</v>
      </c>
    </row>
    <row r="1719">
      <c r="A1719" s="1" t="s">
        <v>1208</v>
      </c>
      <c r="B1719" s="1">
        <v>92.0</v>
      </c>
      <c r="C1719" s="1">
        <v>0.0</v>
      </c>
      <c r="D1719" s="1">
        <v>0.0</v>
      </c>
      <c r="E1719" s="1">
        <v>0.0</v>
      </c>
      <c r="F1719" s="1">
        <v>0.0</v>
      </c>
    </row>
    <row r="1720">
      <c r="A1720" s="1" t="s">
        <v>719</v>
      </c>
      <c r="B1720" s="1">
        <v>146.0</v>
      </c>
      <c r="C1720" s="1">
        <v>0.0</v>
      </c>
      <c r="D1720" s="1">
        <v>0.0</v>
      </c>
      <c r="E1720" s="1">
        <v>0.0</v>
      </c>
      <c r="F1720" s="1">
        <v>0.0</v>
      </c>
    </row>
    <row r="1721">
      <c r="A1721" s="1" t="s">
        <v>1597</v>
      </c>
      <c r="B1721" s="1">
        <v>60.0</v>
      </c>
      <c r="C1721" s="1">
        <v>0.0</v>
      </c>
      <c r="D1721" s="1">
        <v>0.0</v>
      </c>
      <c r="E1721" s="1">
        <v>0.0</v>
      </c>
      <c r="F1721" s="1">
        <v>0.0</v>
      </c>
    </row>
    <row r="1722">
      <c r="A1722" s="1" t="s">
        <v>1130</v>
      </c>
      <c r="B1722" s="1">
        <v>11.0</v>
      </c>
      <c r="C1722" s="1">
        <v>0.0</v>
      </c>
      <c r="D1722" s="1">
        <v>0.0</v>
      </c>
      <c r="E1722" s="1">
        <v>0.0</v>
      </c>
      <c r="F1722" s="1">
        <v>0.0</v>
      </c>
    </row>
    <row r="1723">
      <c r="A1723" s="1" t="s">
        <v>1203</v>
      </c>
      <c r="B1723" s="1">
        <v>30.0</v>
      </c>
      <c r="C1723" s="1">
        <v>0.0</v>
      </c>
      <c r="D1723" s="1">
        <v>0.0</v>
      </c>
      <c r="E1723" s="1">
        <v>0.0</v>
      </c>
      <c r="F1723" s="1">
        <v>0.0</v>
      </c>
    </row>
    <row r="1724">
      <c r="A1724" s="1" t="s">
        <v>627</v>
      </c>
      <c r="B1724" s="1">
        <v>39.0</v>
      </c>
      <c r="C1724" s="1">
        <v>0.0</v>
      </c>
      <c r="D1724" s="1">
        <v>0.0</v>
      </c>
      <c r="E1724" s="1">
        <v>0.0</v>
      </c>
      <c r="F1724" s="1">
        <v>0.0</v>
      </c>
    </row>
    <row r="1725">
      <c r="A1725" s="1" t="s">
        <v>434</v>
      </c>
      <c r="B1725" s="1">
        <v>89.0</v>
      </c>
      <c r="C1725" s="1">
        <v>0.0</v>
      </c>
      <c r="D1725" s="1">
        <v>0.0</v>
      </c>
      <c r="E1725" s="1">
        <v>0.0</v>
      </c>
      <c r="F1725" s="1">
        <v>0.0</v>
      </c>
    </row>
    <row r="1726">
      <c r="A1726" s="1" t="s">
        <v>1782</v>
      </c>
      <c r="B1726" s="1">
        <v>42.0</v>
      </c>
      <c r="C1726" s="1">
        <v>0.0</v>
      </c>
      <c r="D1726" s="1">
        <v>0.0</v>
      </c>
      <c r="E1726" s="1">
        <v>0.0</v>
      </c>
      <c r="F1726" s="1">
        <v>0.0</v>
      </c>
    </row>
    <row r="1727">
      <c r="A1727" s="1" t="s">
        <v>488</v>
      </c>
      <c r="B1727" s="1">
        <v>6.0</v>
      </c>
      <c r="C1727" s="1">
        <v>0.0</v>
      </c>
      <c r="D1727" s="1">
        <v>0.0</v>
      </c>
      <c r="E1727" s="1">
        <v>0.0</v>
      </c>
      <c r="F1727" s="1">
        <v>0.0</v>
      </c>
    </row>
    <row r="1728">
      <c r="A1728" s="1" t="s">
        <v>412</v>
      </c>
      <c r="B1728" s="1">
        <v>43.0</v>
      </c>
      <c r="C1728" s="1">
        <v>0.0</v>
      </c>
      <c r="D1728" s="1">
        <v>0.0</v>
      </c>
      <c r="E1728" s="1">
        <v>0.0</v>
      </c>
      <c r="F1728" s="1">
        <v>0.0</v>
      </c>
    </row>
    <row r="1729">
      <c r="A1729" s="1" t="s">
        <v>1306</v>
      </c>
      <c r="B1729" s="1">
        <v>74.0</v>
      </c>
      <c r="C1729" s="1">
        <v>0.0</v>
      </c>
      <c r="D1729" s="1">
        <v>0.0</v>
      </c>
      <c r="E1729" s="1">
        <v>0.0</v>
      </c>
      <c r="F1729" s="1">
        <v>0.0</v>
      </c>
    </row>
    <row r="1730">
      <c r="A1730" s="1" t="s">
        <v>1598</v>
      </c>
      <c r="B1730" s="1">
        <v>209.0</v>
      </c>
      <c r="C1730" s="1">
        <v>3.0</v>
      </c>
      <c r="D1730" s="1">
        <v>0.0</v>
      </c>
      <c r="E1730" s="1">
        <v>0.0</v>
      </c>
      <c r="F1730" s="1">
        <v>0.0</v>
      </c>
    </row>
    <row r="1731">
      <c r="A1731" s="1" t="s">
        <v>1246</v>
      </c>
      <c r="B1731" s="1">
        <v>77.0</v>
      </c>
      <c r="C1731" s="1">
        <v>0.0</v>
      </c>
      <c r="D1731" s="1">
        <v>0.0</v>
      </c>
      <c r="E1731" s="1">
        <v>0.0</v>
      </c>
      <c r="F1731" s="1">
        <v>0.0</v>
      </c>
    </row>
    <row r="1732">
      <c r="A1732" s="1" t="s">
        <v>1683</v>
      </c>
      <c r="B1732" s="1">
        <v>24.0</v>
      </c>
      <c r="C1732" s="1">
        <v>0.0</v>
      </c>
      <c r="D1732" s="1">
        <v>0.0</v>
      </c>
      <c r="E1732" s="1">
        <v>0.0</v>
      </c>
      <c r="F1732" s="1">
        <v>0.0</v>
      </c>
    </row>
    <row r="1733">
      <c r="A1733" s="1" t="s">
        <v>1771</v>
      </c>
      <c r="B1733" s="1">
        <v>14.0</v>
      </c>
      <c r="C1733" s="1">
        <v>0.0</v>
      </c>
      <c r="D1733" s="1">
        <v>0.0</v>
      </c>
      <c r="E1733" s="1">
        <v>0.0</v>
      </c>
      <c r="F1733" s="1">
        <v>0.0</v>
      </c>
    </row>
    <row r="1734">
      <c r="A1734" s="1" t="s">
        <v>764</v>
      </c>
      <c r="B1734" s="1">
        <v>27.0</v>
      </c>
      <c r="C1734" s="1">
        <v>0.0</v>
      </c>
      <c r="D1734" s="1">
        <v>0.0</v>
      </c>
      <c r="E1734" s="1">
        <v>0.0</v>
      </c>
      <c r="F1734" s="1">
        <v>0.0</v>
      </c>
    </row>
    <row r="1735">
      <c r="A1735" s="1" t="s">
        <v>1804</v>
      </c>
      <c r="B1735" s="1">
        <v>26.0</v>
      </c>
      <c r="C1735" s="1">
        <v>0.0</v>
      </c>
      <c r="D1735" s="1">
        <v>0.0</v>
      </c>
      <c r="E1735" s="1">
        <v>0.0</v>
      </c>
      <c r="F1735" s="1">
        <v>0.0</v>
      </c>
    </row>
    <row r="1736">
      <c r="A1736" s="1" t="s">
        <v>1049</v>
      </c>
      <c r="B1736" s="1">
        <v>81.0</v>
      </c>
      <c r="C1736" s="1">
        <v>0.0</v>
      </c>
      <c r="D1736" s="1">
        <v>0.0</v>
      </c>
      <c r="E1736" s="1">
        <v>0.0</v>
      </c>
      <c r="F1736" s="1">
        <v>0.0</v>
      </c>
    </row>
    <row r="1737">
      <c r="A1737" s="1" t="s">
        <v>1039</v>
      </c>
      <c r="B1737" s="1">
        <v>5.0</v>
      </c>
      <c r="C1737" s="1">
        <v>0.0</v>
      </c>
      <c r="D1737" s="1">
        <v>0.0</v>
      </c>
      <c r="E1737" s="1">
        <v>0.0</v>
      </c>
      <c r="F1737" s="1">
        <v>0.0</v>
      </c>
    </row>
    <row r="1738">
      <c r="A1738" s="1" t="s">
        <v>1299</v>
      </c>
      <c r="B1738" s="1">
        <v>62.0</v>
      </c>
      <c r="C1738" s="1">
        <v>0.0</v>
      </c>
      <c r="D1738" s="1">
        <v>0.0</v>
      </c>
      <c r="E1738" s="1">
        <v>0.0</v>
      </c>
      <c r="F1738" s="1">
        <v>0.0</v>
      </c>
    </row>
    <row r="1739">
      <c r="A1739" s="1" t="s">
        <v>1316</v>
      </c>
      <c r="B1739" s="1">
        <v>12.0</v>
      </c>
      <c r="C1739" s="1">
        <v>0.0</v>
      </c>
      <c r="D1739" s="1">
        <v>0.0</v>
      </c>
      <c r="E1739" s="1">
        <v>0.0</v>
      </c>
      <c r="F1739" s="1">
        <v>0.0</v>
      </c>
    </row>
    <row r="1740">
      <c r="A1740" s="1" t="s">
        <v>1724</v>
      </c>
      <c r="B1740" s="1">
        <v>74.0</v>
      </c>
      <c r="C1740" s="1">
        <v>0.0</v>
      </c>
      <c r="D1740" s="1">
        <v>0.0</v>
      </c>
      <c r="E1740" s="1">
        <v>0.0</v>
      </c>
      <c r="F1740" s="1">
        <v>0.0</v>
      </c>
    </row>
    <row r="1741">
      <c r="A1741" s="1" t="s">
        <v>1223</v>
      </c>
      <c r="B1741" s="1">
        <v>16.0</v>
      </c>
      <c r="C1741" s="1">
        <v>0.0</v>
      </c>
      <c r="D1741" s="1">
        <v>0.0</v>
      </c>
      <c r="E1741" s="1">
        <v>0.0</v>
      </c>
      <c r="F1741" s="1">
        <v>0.0</v>
      </c>
    </row>
    <row r="1742">
      <c r="A1742" s="1" t="s">
        <v>1093</v>
      </c>
      <c r="B1742" s="1">
        <v>177.0</v>
      </c>
      <c r="C1742" s="1">
        <v>0.0</v>
      </c>
      <c r="D1742" s="1">
        <v>0.0</v>
      </c>
      <c r="E1742" s="1">
        <v>0.0</v>
      </c>
      <c r="F1742" s="1">
        <v>0.0</v>
      </c>
    </row>
    <row r="1743">
      <c r="A1743" s="1" t="s">
        <v>925</v>
      </c>
      <c r="B1743" s="1">
        <v>35.0</v>
      </c>
      <c r="C1743" s="1">
        <v>0.0</v>
      </c>
      <c r="D1743" s="1">
        <v>0.0</v>
      </c>
      <c r="E1743" s="1">
        <v>0.0</v>
      </c>
      <c r="F1743" s="1">
        <v>0.0</v>
      </c>
    </row>
    <row r="1744">
      <c r="A1744" s="1" t="s">
        <v>921</v>
      </c>
      <c r="B1744" s="1">
        <v>26.0</v>
      </c>
      <c r="C1744" s="1">
        <v>0.0</v>
      </c>
      <c r="D1744" s="1">
        <v>0.0</v>
      </c>
      <c r="E1744" s="1">
        <v>0.0</v>
      </c>
      <c r="F1744" s="1">
        <v>0.0</v>
      </c>
    </row>
    <row r="1745">
      <c r="A1745" s="1" t="s">
        <v>323</v>
      </c>
      <c r="B1745" s="1">
        <v>24.0</v>
      </c>
      <c r="C1745" s="1">
        <v>0.0</v>
      </c>
      <c r="D1745" s="1">
        <v>0.0</v>
      </c>
      <c r="E1745" s="1">
        <v>0.0</v>
      </c>
      <c r="F1745" s="1">
        <v>0.0</v>
      </c>
    </row>
    <row r="1746">
      <c r="A1746" s="1" t="s">
        <v>1657</v>
      </c>
      <c r="B1746" s="1">
        <v>161.0</v>
      </c>
      <c r="C1746" s="1">
        <v>1.0</v>
      </c>
      <c r="D1746" s="1">
        <v>0.0</v>
      </c>
      <c r="E1746" s="1">
        <v>0.0</v>
      </c>
      <c r="F1746" s="1">
        <v>0.0</v>
      </c>
    </row>
    <row r="1747">
      <c r="A1747" s="1" t="s">
        <v>1601</v>
      </c>
      <c r="B1747" s="1">
        <v>858.0</v>
      </c>
      <c r="C1747" s="1">
        <v>18.0</v>
      </c>
      <c r="D1747" s="1">
        <v>4.0</v>
      </c>
      <c r="E1747" s="1">
        <v>2.0</v>
      </c>
      <c r="F1747" s="1">
        <v>0.0</v>
      </c>
    </row>
    <row r="1748">
      <c r="A1748" s="1" t="s">
        <v>831</v>
      </c>
      <c r="B1748" s="1">
        <v>155.0</v>
      </c>
      <c r="C1748" s="1">
        <v>0.0</v>
      </c>
      <c r="D1748" s="1">
        <v>0.0</v>
      </c>
      <c r="E1748" s="1">
        <v>0.0</v>
      </c>
      <c r="F1748" s="1">
        <v>0.0</v>
      </c>
    </row>
    <row r="1749">
      <c r="A1749" s="1" t="s">
        <v>2043</v>
      </c>
      <c r="B1749" s="1">
        <v>10.0</v>
      </c>
      <c r="C1749" s="1">
        <v>0.0</v>
      </c>
      <c r="D1749" s="1">
        <v>0.0</v>
      </c>
      <c r="E1749" s="1">
        <v>0.0</v>
      </c>
      <c r="F1749" s="1">
        <v>0.0</v>
      </c>
    </row>
    <row r="1750">
      <c r="A1750" s="1" t="s">
        <v>1336</v>
      </c>
      <c r="B1750" s="1">
        <v>36.0</v>
      </c>
      <c r="C1750" s="1">
        <v>0.0</v>
      </c>
      <c r="D1750" s="1">
        <v>0.0</v>
      </c>
      <c r="E1750" s="1">
        <v>0.0</v>
      </c>
      <c r="F1750" s="1">
        <v>0.0</v>
      </c>
    </row>
    <row r="1751">
      <c r="A1751" s="1" t="s">
        <v>868</v>
      </c>
      <c r="B1751" s="1">
        <v>36.0</v>
      </c>
      <c r="C1751" s="1">
        <v>0.0</v>
      </c>
      <c r="D1751" s="1">
        <v>0.0</v>
      </c>
      <c r="E1751" s="1">
        <v>0.0</v>
      </c>
      <c r="F1751" s="1">
        <v>0.0</v>
      </c>
    </row>
    <row r="1752">
      <c r="A1752" s="1" t="s">
        <v>668</v>
      </c>
      <c r="B1752" s="1">
        <v>34.0</v>
      </c>
      <c r="C1752" s="1">
        <v>0.0</v>
      </c>
      <c r="D1752" s="1">
        <v>0.0</v>
      </c>
      <c r="E1752" s="1">
        <v>0.0</v>
      </c>
      <c r="F1752" s="1">
        <v>0.0</v>
      </c>
    </row>
    <row r="1753">
      <c r="A1753" s="1" t="s">
        <v>1041</v>
      </c>
      <c r="B1753" s="1">
        <v>30.0</v>
      </c>
      <c r="C1753" s="1">
        <v>0.0</v>
      </c>
      <c r="D1753" s="1">
        <v>0.0</v>
      </c>
      <c r="E1753" s="1">
        <v>0.0</v>
      </c>
      <c r="F1753" s="1">
        <v>0.0</v>
      </c>
    </row>
    <row r="1754">
      <c r="A1754" s="1" t="s">
        <v>341</v>
      </c>
      <c r="B1754" s="1">
        <v>76.0</v>
      </c>
      <c r="C1754" s="1">
        <v>0.0</v>
      </c>
      <c r="D1754" s="1">
        <v>0.0</v>
      </c>
      <c r="E1754" s="1">
        <v>0.0</v>
      </c>
      <c r="F1754" s="1">
        <v>0.0</v>
      </c>
    </row>
    <row r="1755">
      <c r="A1755" s="1" t="s">
        <v>1721</v>
      </c>
      <c r="B1755" s="1">
        <v>341.0</v>
      </c>
      <c r="C1755" s="1">
        <v>7.0</v>
      </c>
      <c r="D1755" s="1">
        <v>0.0</v>
      </c>
      <c r="E1755" s="1">
        <v>0.0</v>
      </c>
      <c r="F1755" s="1">
        <v>0.0</v>
      </c>
    </row>
    <row r="1756">
      <c r="A1756" s="1" t="s">
        <v>655</v>
      </c>
      <c r="B1756" s="1">
        <v>1008.0</v>
      </c>
      <c r="C1756" s="1">
        <v>51.0</v>
      </c>
      <c r="D1756" s="1">
        <v>1.0</v>
      </c>
      <c r="E1756" s="1">
        <v>1.0</v>
      </c>
      <c r="F1756" s="1">
        <v>1.0</v>
      </c>
    </row>
    <row r="1757">
      <c r="A1757" s="1" t="s">
        <v>1852</v>
      </c>
      <c r="B1757" s="1">
        <v>46.0</v>
      </c>
      <c r="C1757" s="1">
        <v>0.0</v>
      </c>
      <c r="D1757" s="1">
        <v>0.0</v>
      </c>
      <c r="E1757" s="1">
        <v>0.0</v>
      </c>
      <c r="F1757" s="1">
        <v>0.0</v>
      </c>
    </row>
    <row r="1758">
      <c r="A1758" s="1" t="s">
        <v>257</v>
      </c>
      <c r="B1758" s="1">
        <v>5.0</v>
      </c>
      <c r="C1758" s="1">
        <v>0.0</v>
      </c>
      <c r="D1758" s="1">
        <v>0.0</v>
      </c>
      <c r="E1758" s="1">
        <v>0.0</v>
      </c>
      <c r="F1758" s="1">
        <v>0.0</v>
      </c>
    </row>
    <row r="1759">
      <c r="A1759" s="1" t="s">
        <v>1701</v>
      </c>
      <c r="B1759" s="1">
        <v>26.0</v>
      </c>
      <c r="C1759" s="1">
        <v>0.0</v>
      </c>
      <c r="D1759" s="1">
        <v>0.0</v>
      </c>
      <c r="E1759" s="1">
        <v>0.0</v>
      </c>
      <c r="F1759" s="1">
        <v>0.0</v>
      </c>
    </row>
    <row r="1760">
      <c r="A1760" s="1" t="s">
        <v>2012</v>
      </c>
      <c r="B1760" s="1">
        <v>68.0</v>
      </c>
      <c r="C1760" s="1">
        <v>0.0</v>
      </c>
      <c r="D1760" s="1">
        <v>0.0</v>
      </c>
      <c r="E1760" s="1">
        <v>0.0</v>
      </c>
      <c r="F1760" s="1">
        <v>0.0</v>
      </c>
    </row>
    <row r="1761">
      <c r="A1761" s="1" t="s">
        <v>1192</v>
      </c>
      <c r="B1761" s="1">
        <v>23.0</v>
      </c>
      <c r="C1761" s="1">
        <v>0.0</v>
      </c>
      <c r="D1761" s="1">
        <v>0.0</v>
      </c>
      <c r="E1761" s="1">
        <v>0.0</v>
      </c>
      <c r="F1761" s="1">
        <v>0.0</v>
      </c>
    </row>
    <row r="1762">
      <c r="A1762" s="1" t="s">
        <v>1072</v>
      </c>
      <c r="B1762" s="1">
        <v>18.0</v>
      </c>
      <c r="C1762" s="1">
        <v>0.0</v>
      </c>
      <c r="D1762" s="1">
        <v>0.0</v>
      </c>
      <c r="E1762" s="1">
        <v>0.0</v>
      </c>
      <c r="F1762" s="1">
        <v>0.0</v>
      </c>
    </row>
    <row r="1763">
      <c r="A1763" s="1" t="s">
        <v>287</v>
      </c>
      <c r="B1763" s="1">
        <v>119.0</v>
      </c>
      <c r="C1763" s="1">
        <v>0.0</v>
      </c>
      <c r="D1763" s="1">
        <v>0.0</v>
      </c>
      <c r="E1763" s="1">
        <v>0.0</v>
      </c>
      <c r="F1763" s="1">
        <v>0.0</v>
      </c>
    </row>
    <row r="1764">
      <c r="A1764" s="1" t="s">
        <v>378</v>
      </c>
      <c r="B1764" s="1">
        <v>27.0</v>
      </c>
      <c r="C1764" s="1">
        <v>0.0</v>
      </c>
      <c r="D1764" s="1">
        <v>0.0</v>
      </c>
      <c r="E1764" s="1">
        <v>0.0</v>
      </c>
      <c r="F1764" s="1">
        <v>0.0</v>
      </c>
    </row>
    <row r="1765">
      <c r="A1765" s="1" t="s">
        <v>1655</v>
      </c>
      <c r="B1765" s="1">
        <v>9.0</v>
      </c>
      <c r="C1765" s="1">
        <v>0.0</v>
      </c>
      <c r="D1765" s="1">
        <v>0.0</v>
      </c>
      <c r="E1765" s="1">
        <v>0.0</v>
      </c>
      <c r="F1765" s="1">
        <v>0.0</v>
      </c>
    </row>
    <row r="1766">
      <c r="A1766" s="1" t="s">
        <v>1620</v>
      </c>
      <c r="B1766" s="1">
        <v>32.0</v>
      </c>
      <c r="C1766" s="1">
        <v>0.0</v>
      </c>
      <c r="D1766" s="1">
        <v>0.0</v>
      </c>
      <c r="E1766" s="1">
        <v>0.0</v>
      </c>
      <c r="F1766" s="1">
        <v>0.0</v>
      </c>
    </row>
    <row r="1767">
      <c r="A1767" s="1" t="s">
        <v>607</v>
      </c>
      <c r="B1767" s="1">
        <v>54.0</v>
      </c>
      <c r="C1767" s="1">
        <v>0.0</v>
      </c>
      <c r="D1767" s="1">
        <v>0.0</v>
      </c>
      <c r="E1767" s="1">
        <v>0.0</v>
      </c>
      <c r="F1767" s="1">
        <v>0.0</v>
      </c>
    </row>
    <row r="1768">
      <c r="A1768" s="1" t="s">
        <v>1824</v>
      </c>
      <c r="B1768" s="1">
        <v>49.0</v>
      </c>
      <c r="C1768" s="1">
        <v>0.0</v>
      </c>
      <c r="D1768" s="1">
        <v>0.0</v>
      </c>
      <c r="E1768" s="1">
        <v>0.0</v>
      </c>
      <c r="F1768" s="1">
        <v>0.0</v>
      </c>
    </row>
    <row r="1769">
      <c r="A1769" s="1" t="s">
        <v>679</v>
      </c>
      <c r="B1769" s="1">
        <v>2.0</v>
      </c>
      <c r="C1769" s="1">
        <v>0.0</v>
      </c>
      <c r="D1769" s="1">
        <v>0.0</v>
      </c>
      <c r="E1769" s="1">
        <v>0.0</v>
      </c>
      <c r="F1769" s="1">
        <v>0.0</v>
      </c>
    </row>
    <row r="1770">
      <c r="A1770" s="1" t="s">
        <v>1000</v>
      </c>
      <c r="B1770" s="1">
        <v>48.0</v>
      </c>
      <c r="C1770" s="1">
        <v>0.0</v>
      </c>
      <c r="D1770" s="1">
        <v>0.0</v>
      </c>
      <c r="E1770" s="1">
        <v>0.0</v>
      </c>
      <c r="F1770" s="1">
        <v>0.0</v>
      </c>
    </row>
    <row r="1771">
      <c r="A1771" s="1" t="s">
        <v>1436</v>
      </c>
      <c r="B1771" s="1">
        <v>15.0</v>
      </c>
      <c r="C1771" s="1">
        <v>0.0</v>
      </c>
      <c r="D1771" s="1">
        <v>0.0</v>
      </c>
      <c r="E1771" s="1">
        <v>0.0</v>
      </c>
      <c r="F1771" s="1">
        <v>0.0</v>
      </c>
    </row>
    <row r="1772">
      <c r="A1772" s="1" t="s">
        <v>278</v>
      </c>
      <c r="B1772" s="1">
        <v>44.0</v>
      </c>
      <c r="C1772" s="1">
        <v>0.0</v>
      </c>
      <c r="D1772" s="1">
        <v>0.0</v>
      </c>
      <c r="E1772" s="1">
        <v>0.0</v>
      </c>
      <c r="F1772" s="1">
        <v>0.0</v>
      </c>
    </row>
    <row r="1773">
      <c r="A1773" s="1" t="s">
        <v>1560</v>
      </c>
      <c r="B1773" s="1">
        <v>69.0</v>
      </c>
      <c r="C1773" s="1">
        <v>0.0</v>
      </c>
      <c r="D1773" s="1">
        <v>0.0</v>
      </c>
      <c r="E1773" s="1">
        <v>0.0</v>
      </c>
      <c r="F1773" s="1">
        <v>0.0</v>
      </c>
    </row>
    <row r="1774">
      <c r="A1774" s="1" t="s">
        <v>350</v>
      </c>
      <c r="B1774" s="1">
        <v>30.0</v>
      </c>
      <c r="C1774" s="1">
        <v>0.0</v>
      </c>
      <c r="D1774" s="1">
        <v>0.0</v>
      </c>
      <c r="E1774" s="1">
        <v>0.0</v>
      </c>
      <c r="F1774" s="1">
        <v>0.0</v>
      </c>
    </row>
    <row r="1775">
      <c r="A1775" s="1" t="s">
        <v>1922</v>
      </c>
      <c r="B1775" s="1">
        <v>79.0</v>
      </c>
      <c r="C1775" s="1">
        <v>0.0</v>
      </c>
      <c r="D1775" s="1">
        <v>0.0</v>
      </c>
      <c r="E1775" s="1">
        <v>0.0</v>
      </c>
      <c r="F1775" s="1">
        <v>0.0</v>
      </c>
    </row>
    <row r="1776">
      <c r="A1776" s="1" t="s">
        <v>820</v>
      </c>
      <c r="B1776" s="1">
        <v>38.0</v>
      </c>
      <c r="C1776" s="1">
        <v>0.0</v>
      </c>
      <c r="D1776" s="1">
        <v>0.0</v>
      </c>
      <c r="E1776" s="1">
        <v>0.0</v>
      </c>
      <c r="F1776" s="1">
        <v>0.0</v>
      </c>
    </row>
    <row r="1777">
      <c r="A1777" s="1" t="s">
        <v>369</v>
      </c>
      <c r="B1777" s="1">
        <v>28.0</v>
      </c>
      <c r="C1777" s="1">
        <v>0.0</v>
      </c>
      <c r="D1777" s="1">
        <v>0.0</v>
      </c>
      <c r="E1777" s="1">
        <v>0.0</v>
      </c>
      <c r="F1777" s="1">
        <v>0.0</v>
      </c>
    </row>
    <row r="1778">
      <c r="A1778" s="1" t="s">
        <v>851</v>
      </c>
      <c r="B1778" s="1">
        <v>46.0</v>
      </c>
      <c r="C1778" s="1">
        <v>0.0</v>
      </c>
      <c r="D1778" s="1">
        <v>0.0</v>
      </c>
      <c r="E1778" s="1">
        <v>0.0</v>
      </c>
      <c r="F1778" s="1">
        <v>0.0</v>
      </c>
    </row>
    <row r="1779">
      <c r="A1779" s="1" t="s">
        <v>1903</v>
      </c>
      <c r="B1779" s="1">
        <v>117.0</v>
      </c>
      <c r="C1779" s="1">
        <v>1.0</v>
      </c>
      <c r="D1779" s="1">
        <v>0.0</v>
      </c>
      <c r="E1779" s="1">
        <v>0.0</v>
      </c>
      <c r="F1779" s="1">
        <v>0.0</v>
      </c>
    </row>
    <row r="1780">
      <c r="A1780" s="1" t="s">
        <v>389</v>
      </c>
      <c r="B1780" s="1">
        <v>16.0</v>
      </c>
      <c r="C1780" s="1">
        <v>0.0</v>
      </c>
      <c r="D1780" s="1">
        <v>0.0</v>
      </c>
      <c r="E1780" s="1">
        <v>0.0</v>
      </c>
      <c r="F1780" s="1">
        <v>0.0</v>
      </c>
    </row>
    <row r="1781">
      <c r="A1781" s="1" t="s">
        <v>1472</v>
      </c>
      <c r="B1781" s="1">
        <v>8.0</v>
      </c>
      <c r="C1781" s="1">
        <v>0.0</v>
      </c>
      <c r="D1781" s="1">
        <v>0.0</v>
      </c>
      <c r="E1781" s="1">
        <v>0.0</v>
      </c>
      <c r="F1781" s="1">
        <v>0.0</v>
      </c>
    </row>
    <row r="1782">
      <c r="A1782" s="1" t="s">
        <v>897</v>
      </c>
      <c r="B1782" s="1">
        <v>40.0</v>
      </c>
      <c r="C1782" s="1">
        <v>0.0</v>
      </c>
      <c r="D1782" s="1">
        <v>0.0</v>
      </c>
      <c r="E1782" s="1">
        <v>0.0</v>
      </c>
      <c r="F1782" s="1">
        <v>0.0</v>
      </c>
    </row>
    <row r="1783">
      <c r="A1783" s="1" t="s">
        <v>1015</v>
      </c>
      <c r="B1783" s="1">
        <v>27.0</v>
      </c>
      <c r="C1783" s="1">
        <v>0.0</v>
      </c>
      <c r="D1783" s="1">
        <v>0.0</v>
      </c>
      <c r="E1783" s="1">
        <v>0.0</v>
      </c>
      <c r="F1783" s="1">
        <v>0.0</v>
      </c>
    </row>
    <row r="1784">
      <c r="A1784" s="1" t="s">
        <v>1832</v>
      </c>
      <c r="B1784" s="1">
        <v>77.0</v>
      </c>
      <c r="C1784" s="1">
        <v>0.0</v>
      </c>
      <c r="D1784" s="1">
        <v>0.0</v>
      </c>
      <c r="E1784" s="1">
        <v>0.0</v>
      </c>
      <c r="F1784" s="1">
        <v>0.0</v>
      </c>
    </row>
    <row r="1785">
      <c r="A1785" s="1" t="s">
        <v>1871</v>
      </c>
      <c r="B1785" s="1">
        <v>123.0</v>
      </c>
      <c r="C1785" s="1">
        <v>0.0</v>
      </c>
      <c r="D1785" s="1">
        <v>0.0</v>
      </c>
      <c r="E1785" s="1">
        <v>0.0</v>
      </c>
      <c r="F1785" s="1">
        <v>0.0</v>
      </c>
    </row>
    <row r="1786">
      <c r="A1786" s="1" t="s">
        <v>900</v>
      </c>
      <c r="B1786" s="1">
        <v>43.0</v>
      </c>
      <c r="C1786" s="1">
        <v>0.0</v>
      </c>
      <c r="D1786" s="1">
        <v>0.0</v>
      </c>
      <c r="E1786" s="1">
        <v>0.0</v>
      </c>
      <c r="F1786" s="1">
        <v>0.0</v>
      </c>
    </row>
    <row r="1787">
      <c r="A1787" s="1" t="s">
        <v>1174</v>
      </c>
      <c r="B1787" s="1">
        <v>15.0</v>
      </c>
      <c r="C1787" s="1">
        <v>0.0</v>
      </c>
      <c r="D1787" s="1">
        <v>0.0</v>
      </c>
      <c r="E1787" s="1">
        <v>0.0</v>
      </c>
      <c r="F1787" s="1">
        <v>0.0</v>
      </c>
    </row>
    <row r="1788">
      <c r="A1788" s="1" t="s">
        <v>1806</v>
      </c>
      <c r="B1788" s="1">
        <v>30.0</v>
      </c>
      <c r="C1788" s="1">
        <v>0.0</v>
      </c>
      <c r="D1788" s="1">
        <v>0.0</v>
      </c>
      <c r="E1788" s="1">
        <v>0.0</v>
      </c>
      <c r="F1788" s="1">
        <v>0.0</v>
      </c>
    </row>
    <row r="1789">
      <c r="A1789" s="1" t="s">
        <v>1356</v>
      </c>
      <c r="B1789" s="1">
        <v>41.0</v>
      </c>
      <c r="C1789" s="1">
        <v>0.0</v>
      </c>
      <c r="D1789" s="1">
        <v>0.0</v>
      </c>
      <c r="E1789" s="1">
        <v>0.0</v>
      </c>
      <c r="F1789" s="1">
        <v>0.0</v>
      </c>
    </row>
    <row r="1790">
      <c r="A1790" s="1" t="s">
        <v>1609</v>
      </c>
      <c r="B1790" s="1">
        <v>55.0</v>
      </c>
      <c r="C1790" s="1">
        <v>0.0</v>
      </c>
      <c r="D1790" s="1">
        <v>0.0</v>
      </c>
      <c r="E1790" s="1">
        <v>0.0</v>
      </c>
      <c r="F1790" s="1">
        <v>0.0</v>
      </c>
    </row>
    <row r="1791">
      <c r="A1791" s="1" t="s">
        <v>305</v>
      </c>
      <c r="B1791" s="1">
        <v>21.0</v>
      </c>
      <c r="C1791" s="1">
        <v>0.0</v>
      </c>
      <c r="D1791" s="1">
        <v>0.0</v>
      </c>
      <c r="E1791" s="1">
        <v>0.0</v>
      </c>
      <c r="F1791" s="1">
        <v>0.0</v>
      </c>
    </row>
    <row r="1792">
      <c r="A1792" s="1" t="s">
        <v>557</v>
      </c>
      <c r="B1792" s="1">
        <v>17.0</v>
      </c>
      <c r="C1792" s="1">
        <v>0.0</v>
      </c>
      <c r="D1792" s="1">
        <v>0.0</v>
      </c>
      <c r="E1792" s="1">
        <v>0.0</v>
      </c>
      <c r="F1792" s="1">
        <v>0.0</v>
      </c>
    </row>
    <row r="1793">
      <c r="A1793" s="1" t="s">
        <v>1090</v>
      </c>
      <c r="B1793" s="1">
        <v>8.0</v>
      </c>
      <c r="C1793" s="1">
        <v>0.0</v>
      </c>
      <c r="D1793" s="1">
        <v>0.0</v>
      </c>
      <c r="E1793" s="1">
        <v>0.0</v>
      </c>
      <c r="F1793" s="1">
        <v>0.0</v>
      </c>
    </row>
    <row r="1794">
      <c r="A1794" s="1" t="s">
        <v>472</v>
      </c>
      <c r="B1794" s="1">
        <v>34.0</v>
      </c>
      <c r="C1794" s="1">
        <v>0.0</v>
      </c>
      <c r="D1794" s="1">
        <v>0.0</v>
      </c>
      <c r="E1794" s="1">
        <v>0.0</v>
      </c>
      <c r="F1794" s="1">
        <v>0.0</v>
      </c>
    </row>
    <row r="1795">
      <c r="A1795" s="1" t="s">
        <v>514</v>
      </c>
      <c r="B1795" s="1">
        <v>53.0</v>
      </c>
      <c r="C1795" s="1">
        <v>0.0</v>
      </c>
      <c r="D1795" s="1">
        <v>0.0</v>
      </c>
      <c r="E1795" s="1">
        <v>0.0</v>
      </c>
      <c r="F1795" s="1">
        <v>0.0</v>
      </c>
    </row>
    <row r="1796">
      <c r="A1796" s="1" t="s">
        <v>1731</v>
      </c>
      <c r="B1796" s="1">
        <v>37.0</v>
      </c>
      <c r="C1796" s="1">
        <v>0.0</v>
      </c>
      <c r="D1796" s="1">
        <v>0.0</v>
      </c>
      <c r="E1796" s="1">
        <v>0.0</v>
      </c>
      <c r="F1796" s="1">
        <v>0.0</v>
      </c>
    </row>
    <row r="1797">
      <c r="A1797" s="1" t="s">
        <v>1136</v>
      </c>
      <c r="B1797" s="1">
        <v>8.0</v>
      </c>
      <c r="C1797" s="1">
        <v>0.0</v>
      </c>
      <c r="D1797" s="1">
        <v>0.0</v>
      </c>
      <c r="E1797" s="1">
        <v>0.0</v>
      </c>
      <c r="F1797" s="1">
        <v>0.0</v>
      </c>
    </row>
    <row r="1798">
      <c r="A1798" s="1" t="s">
        <v>1014</v>
      </c>
      <c r="B1798" s="1">
        <v>13.0</v>
      </c>
      <c r="C1798" s="1">
        <v>0.0</v>
      </c>
      <c r="D1798" s="1">
        <v>0.0</v>
      </c>
      <c r="E1798" s="1">
        <v>0.0</v>
      </c>
      <c r="F1798" s="1">
        <v>0.0</v>
      </c>
    </row>
    <row r="1799">
      <c r="A1799" s="1" t="s">
        <v>1605</v>
      </c>
      <c r="B1799" s="1">
        <v>5.0</v>
      </c>
      <c r="C1799" s="1">
        <v>0.0</v>
      </c>
      <c r="D1799" s="1">
        <v>0.0</v>
      </c>
      <c r="E1799" s="1">
        <v>0.0</v>
      </c>
      <c r="F1799" s="1">
        <v>0.0</v>
      </c>
    </row>
    <row r="1800">
      <c r="A1800" s="1" t="s">
        <v>366</v>
      </c>
      <c r="B1800" s="1">
        <v>162.0</v>
      </c>
      <c r="C1800" s="1">
        <v>2.0</v>
      </c>
      <c r="D1800" s="1">
        <v>0.0</v>
      </c>
      <c r="E1800" s="1">
        <v>0.0</v>
      </c>
      <c r="F1800" s="1">
        <v>0.0</v>
      </c>
    </row>
    <row r="1801">
      <c r="A1801" s="1" t="s">
        <v>311</v>
      </c>
      <c r="B1801" s="1">
        <v>50.0</v>
      </c>
      <c r="C1801" s="1">
        <v>0.0</v>
      </c>
      <c r="D1801" s="1">
        <v>0.0</v>
      </c>
      <c r="E1801" s="1">
        <v>0.0</v>
      </c>
      <c r="F1801" s="1">
        <v>0.0</v>
      </c>
    </row>
    <row r="1802">
      <c r="A1802" s="1" t="s">
        <v>1180</v>
      </c>
      <c r="B1802" s="1">
        <v>4.0</v>
      </c>
      <c r="C1802" s="1">
        <v>0.0</v>
      </c>
      <c r="D1802" s="1">
        <v>0.0</v>
      </c>
      <c r="E1802" s="1">
        <v>0.0</v>
      </c>
      <c r="F1802" s="1">
        <v>0.0</v>
      </c>
    </row>
    <row r="1803">
      <c r="A1803" s="1" t="s">
        <v>1310</v>
      </c>
      <c r="B1803" s="1">
        <v>47.0</v>
      </c>
      <c r="C1803" s="1">
        <v>0.0</v>
      </c>
      <c r="D1803" s="1">
        <v>0.0</v>
      </c>
      <c r="E1803" s="1">
        <v>0.0</v>
      </c>
      <c r="F1803" s="1">
        <v>0.0</v>
      </c>
    </row>
    <row r="1804">
      <c r="A1804" s="1" t="s">
        <v>461</v>
      </c>
      <c r="B1804" s="1">
        <v>56.0</v>
      </c>
      <c r="C1804" s="1">
        <v>0.0</v>
      </c>
      <c r="D1804" s="1">
        <v>0.0</v>
      </c>
      <c r="E1804" s="1">
        <v>0.0</v>
      </c>
      <c r="F1804" s="1">
        <v>0.0</v>
      </c>
    </row>
    <row r="1805">
      <c r="A1805" s="1" t="s">
        <v>1729</v>
      </c>
      <c r="B1805" s="1">
        <v>68.0</v>
      </c>
      <c r="C1805" s="1">
        <v>0.0</v>
      </c>
      <c r="D1805" s="1">
        <v>0.0</v>
      </c>
      <c r="E1805" s="1">
        <v>0.0</v>
      </c>
      <c r="F1805" s="1">
        <v>0.0</v>
      </c>
    </row>
    <row r="1806">
      <c r="A1806" s="1" t="s">
        <v>1550</v>
      </c>
      <c r="B1806" s="1">
        <v>11.0</v>
      </c>
      <c r="C1806" s="1">
        <v>0.0</v>
      </c>
      <c r="D1806" s="1">
        <v>0.0</v>
      </c>
      <c r="E1806" s="1">
        <v>0.0</v>
      </c>
      <c r="F1806" s="1">
        <v>0.0</v>
      </c>
    </row>
    <row r="1807">
      <c r="A1807" s="1" t="s">
        <v>1907</v>
      </c>
      <c r="B1807" s="1">
        <v>15.0</v>
      </c>
      <c r="C1807" s="1">
        <v>0.0</v>
      </c>
      <c r="D1807" s="1">
        <v>0.0</v>
      </c>
      <c r="E1807" s="1">
        <v>0.0</v>
      </c>
      <c r="F1807" s="1">
        <v>0.0</v>
      </c>
    </row>
    <row r="1808">
      <c r="A1808" s="1" t="s">
        <v>842</v>
      </c>
      <c r="B1808" s="1">
        <v>71.0</v>
      </c>
      <c r="C1808" s="1">
        <v>0.0</v>
      </c>
      <c r="D1808" s="1">
        <v>0.0</v>
      </c>
      <c r="E1808" s="1">
        <v>0.0</v>
      </c>
      <c r="F1808" s="1">
        <v>0.0</v>
      </c>
    </row>
    <row r="1809">
      <c r="A1809" s="1" t="s">
        <v>373</v>
      </c>
      <c r="B1809" s="1">
        <v>497.0</v>
      </c>
      <c r="C1809" s="1">
        <v>6.0</v>
      </c>
      <c r="D1809" s="1">
        <v>0.0</v>
      </c>
      <c r="E1809" s="1">
        <v>0.0</v>
      </c>
      <c r="F1809" s="1">
        <v>0.0</v>
      </c>
    </row>
    <row r="1810">
      <c r="A1810" s="1" t="s">
        <v>846</v>
      </c>
      <c r="B1810" s="1">
        <v>195.0</v>
      </c>
      <c r="C1810" s="1">
        <v>0.0</v>
      </c>
      <c r="D1810" s="1">
        <v>0.0</v>
      </c>
      <c r="E1810" s="1">
        <v>0.0</v>
      </c>
      <c r="F1810" s="1">
        <v>0.0</v>
      </c>
    </row>
    <row r="1811">
      <c r="A1811" s="1" t="s">
        <v>709</v>
      </c>
      <c r="B1811" s="1">
        <v>54.0</v>
      </c>
      <c r="C1811" s="1">
        <v>0.0</v>
      </c>
      <c r="D1811" s="1">
        <v>0.0</v>
      </c>
      <c r="E1811" s="1">
        <v>0.0</v>
      </c>
      <c r="F1811" s="1">
        <v>0.0</v>
      </c>
    </row>
    <row r="1812">
      <c r="A1812" s="1" t="s">
        <v>1345</v>
      </c>
      <c r="B1812" s="1">
        <v>4.0</v>
      </c>
      <c r="C1812" s="1">
        <v>0.0</v>
      </c>
      <c r="D1812" s="1">
        <v>0.0</v>
      </c>
      <c r="E1812" s="1">
        <v>0.0</v>
      </c>
      <c r="F1812" s="1">
        <v>0.0</v>
      </c>
    </row>
    <row r="1813">
      <c r="A1813" s="1" t="s">
        <v>966</v>
      </c>
      <c r="B1813" s="1">
        <v>68.0</v>
      </c>
      <c r="C1813" s="1">
        <v>0.0</v>
      </c>
      <c r="D1813" s="1">
        <v>0.0</v>
      </c>
      <c r="E1813" s="1">
        <v>0.0</v>
      </c>
      <c r="F1813" s="1">
        <v>0.0</v>
      </c>
    </row>
    <row r="1814">
      <c r="A1814" s="1" t="s">
        <v>1614</v>
      </c>
      <c r="B1814" s="1">
        <v>44.0</v>
      </c>
      <c r="C1814" s="1">
        <v>0.0</v>
      </c>
      <c r="D1814" s="1">
        <v>0.0</v>
      </c>
      <c r="E1814" s="1">
        <v>0.0</v>
      </c>
      <c r="F1814" s="1">
        <v>0.0</v>
      </c>
    </row>
    <row r="1815">
      <c r="A1815" s="1" t="s">
        <v>1817</v>
      </c>
      <c r="B1815" s="1">
        <v>151.0</v>
      </c>
      <c r="C1815" s="1">
        <v>1.0</v>
      </c>
      <c r="D1815" s="1">
        <v>0.0</v>
      </c>
      <c r="E1815" s="1">
        <v>0.0</v>
      </c>
      <c r="F1815" s="1">
        <v>0.0</v>
      </c>
    </row>
    <row r="1816">
      <c r="A1816" s="1" t="s">
        <v>271</v>
      </c>
      <c r="B1816" s="1">
        <v>166.0</v>
      </c>
      <c r="C1816" s="1">
        <v>0.0</v>
      </c>
      <c r="D1816" s="1">
        <v>0.0</v>
      </c>
      <c r="E1816" s="1">
        <v>0.0</v>
      </c>
      <c r="F1816" s="1">
        <v>0.0</v>
      </c>
    </row>
    <row r="1817">
      <c r="A1817" s="1" t="s">
        <v>967</v>
      </c>
      <c r="B1817" s="1">
        <v>54.0</v>
      </c>
      <c r="C1817" s="1">
        <v>0.0</v>
      </c>
      <c r="D1817" s="1">
        <v>0.0</v>
      </c>
      <c r="E1817" s="1">
        <v>0.0</v>
      </c>
      <c r="F1817" s="1">
        <v>0.0</v>
      </c>
    </row>
    <row r="1818">
      <c r="A1818" s="1" t="s">
        <v>1608</v>
      </c>
      <c r="B1818" s="1">
        <v>986.0</v>
      </c>
      <c r="C1818" s="1">
        <v>24.0</v>
      </c>
      <c r="D1818" s="1">
        <v>1.0</v>
      </c>
      <c r="E1818" s="1">
        <v>3.0</v>
      </c>
      <c r="F1818" s="1">
        <v>0.0</v>
      </c>
    </row>
    <row r="1819">
      <c r="A1819" s="1" t="s">
        <v>199</v>
      </c>
      <c r="B1819" s="1">
        <v>7.0</v>
      </c>
      <c r="C1819" s="1">
        <v>0.0</v>
      </c>
      <c r="D1819" s="1">
        <v>0.0</v>
      </c>
      <c r="E1819" s="1">
        <v>0.0</v>
      </c>
      <c r="F1819" s="1">
        <v>0.0</v>
      </c>
    </row>
    <row r="1820">
      <c r="A1820" s="1" t="s">
        <v>1968</v>
      </c>
      <c r="B1820" s="1">
        <v>33.0</v>
      </c>
      <c r="C1820" s="1">
        <v>0.0</v>
      </c>
      <c r="D1820" s="1">
        <v>0.0</v>
      </c>
      <c r="E1820" s="1">
        <v>0.0</v>
      </c>
      <c r="F1820" s="1">
        <v>0.0</v>
      </c>
    </row>
    <row r="1821">
      <c r="A1821" s="1" t="s">
        <v>453</v>
      </c>
      <c r="B1821" s="1">
        <v>201.0</v>
      </c>
      <c r="C1821" s="1">
        <v>1.0</v>
      </c>
      <c r="D1821" s="1">
        <v>0.0</v>
      </c>
      <c r="E1821" s="1">
        <v>0.0</v>
      </c>
      <c r="F1821" s="1">
        <v>0.0</v>
      </c>
    </row>
    <row r="1822">
      <c r="A1822" s="1" t="s">
        <v>962</v>
      </c>
      <c r="B1822" s="1">
        <v>49.0</v>
      </c>
      <c r="C1822" s="1">
        <v>0.0</v>
      </c>
      <c r="D1822" s="1">
        <v>0.0</v>
      </c>
      <c r="E1822" s="1">
        <v>0.0</v>
      </c>
      <c r="F1822" s="1">
        <v>0.0</v>
      </c>
    </row>
    <row r="1823">
      <c r="A1823" s="1" t="s">
        <v>415</v>
      </c>
      <c r="B1823" s="1">
        <v>7.0</v>
      </c>
      <c r="C1823" s="1">
        <v>0.0</v>
      </c>
      <c r="D1823" s="1">
        <v>0.0</v>
      </c>
      <c r="E1823" s="1">
        <v>0.0</v>
      </c>
      <c r="F1823" s="1">
        <v>0.0</v>
      </c>
    </row>
    <row r="1824">
      <c r="A1824" s="1" t="s">
        <v>544</v>
      </c>
      <c r="B1824" s="1">
        <v>25.0</v>
      </c>
      <c r="C1824" s="1">
        <v>0.0</v>
      </c>
      <c r="D1824" s="1">
        <v>0.0</v>
      </c>
      <c r="E1824" s="1">
        <v>0.0</v>
      </c>
      <c r="F1824" s="1">
        <v>0.0</v>
      </c>
    </row>
    <row r="1825">
      <c r="A1825" s="1" t="s">
        <v>1173</v>
      </c>
      <c r="B1825" s="1">
        <v>14.0</v>
      </c>
      <c r="C1825" s="1">
        <v>0.0</v>
      </c>
      <c r="D1825" s="1">
        <v>0.0</v>
      </c>
      <c r="E1825" s="1">
        <v>0.0</v>
      </c>
      <c r="F1825" s="1">
        <v>0.0</v>
      </c>
    </row>
    <row r="1826">
      <c r="A1826" s="1" t="s">
        <v>1797</v>
      </c>
      <c r="B1826" s="1">
        <v>49.0</v>
      </c>
      <c r="C1826" s="1">
        <v>0.0</v>
      </c>
      <c r="D1826" s="1">
        <v>0.0</v>
      </c>
      <c r="E1826" s="1">
        <v>0.0</v>
      </c>
      <c r="F1826" s="1">
        <v>0.0</v>
      </c>
    </row>
    <row r="1827">
      <c r="A1827" s="1" t="s">
        <v>654</v>
      </c>
      <c r="B1827" s="1">
        <v>119.0</v>
      </c>
      <c r="C1827" s="1">
        <v>0.0</v>
      </c>
      <c r="D1827" s="1">
        <v>0.0</v>
      </c>
      <c r="E1827" s="1">
        <v>0.0</v>
      </c>
      <c r="F1827" s="1">
        <v>0.0</v>
      </c>
    </row>
    <row r="1828">
      <c r="A1828" s="1" t="s">
        <v>220</v>
      </c>
      <c r="B1828" s="1">
        <v>30.0</v>
      </c>
      <c r="C1828" s="1">
        <v>0.0</v>
      </c>
      <c r="D1828" s="1">
        <v>0.0</v>
      </c>
      <c r="E1828" s="1">
        <v>0.0</v>
      </c>
      <c r="F1828" s="1">
        <v>0.0</v>
      </c>
    </row>
    <row r="1829">
      <c r="A1829" s="1" t="s">
        <v>365</v>
      </c>
      <c r="B1829" s="1">
        <v>22.0</v>
      </c>
      <c r="C1829" s="1">
        <v>0.0</v>
      </c>
      <c r="D1829" s="1">
        <v>0.0</v>
      </c>
      <c r="E1829" s="1">
        <v>0.0</v>
      </c>
      <c r="F1829" s="1">
        <v>0.0</v>
      </c>
    </row>
    <row r="1830">
      <c r="A1830" s="1" t="s">
        <v>2070</v>
      </c>
      <c r="B1830" s="1">
        <v>115.0</v>
      </c>
      <c r="C1830" s="1">
        <v>0.0</v>
      </c>
      <c r="D1830" s="1">
        <v>0.0</v>
      </c>
      <c r="E1830" s="1">
        <v>0.0</v>
      </c>
      <c r="F1830" s="1">
        <v>0.0</v>
      </c>
    </row>
    <row r="1831">
      <c r="A1831" s="1" t="s">
        <v>1697</v>
      </c>
      <c r="B1831" s="1">
        <v>46.0</v>
      </c>
      <c r="C1831" s="1">
        <v>0.0</v>
      </c>
      <c r="D1831" s="1">
        <v>0.0</v>
      </c>
      <c r="E1831" s="1">
        <v>0.0</v>
      </c>
      <c r="F1831" s="1">
        <v>0.0</v>
      </c>
    </row>
    <row r="1832">
      <c r="A1832" s="1" t="s">
        <v>1337</v>
      </c>
      <c r="B1832" s="1">
        <v>52.0</v>
      </c>
      <c r="C1832" s="1">
        <v>0.0</v>
      </c>
      <c r="D1832" s="1">
        <v>0.0</v>
      </c>
      <c r="E1832" s="1">
        <v>0.0</v>
      </c>
      <c r="F1832" s="1">
        <v>0.0</v>
      </c>
    </row>
    <row r="1833">
      <c r="A1833" s="1" t="s">
        <v>1984</v>
      </c>
      <c r="B1833" s="1">
        <v>23.0</v>
      </c>
      <c r="C1833" s="1">
        <v>0.0</v>
      </c>
      <c r="D1833" s="1">
        <v>0.0</v>
      </c>
      <c r="E1833" s="1">
        <v>0.0</v>
      </c>
      <c r="F1833" s="1">
        <v>0.0</v>
      </c>
    </row>
    <row r="1834">
      <c r="A1834" s="1" t="s">
        <v>315</v>
      </c>
      <c r="B1834" s="1">
        <v>35.0</v>
      </c>
      <c r="C1834" s="1">
        <v>0.0</v>
      </c>
      <c r="D1834" s="1">
        <v>0.0</v>
      </c>
      <c r="E1834" s="1">
        <v>0.0</v>
      </c>
      <c r="F1834" s="1">
        <v>0.0</v>
      </c>
    </row>
    <row r="1835">
      <c r="A1835" s="1" t="s">
        <v>946</v>
      </c>
      <c r="B1835" s="1">
        <v>28.0</v>
      </c>
      <c r="C1835" s="1">
        <v>0.0</v>
      </c>
      <c r="D1835" s="1">
        <v>0.0</v>
      </c>
      <c r="E1835" s="1">
        <v>0.0</v>
      </c>
      <c r="F1835" s="1">
        <v>0.0</v>
      </c>
    </row>
    <row r="1836">
      <c r="A1836" s="1" t="s">
        <v>981</v>
      </c>
      <c r="B1836" s="1">
        <v>22.0</v>
      </c>
      <c r="C1836" s="1">
        <v>0.0</v>
      </c>
      <c r="D1836" s="1">
        <v>0.0</v>
      </c>
      <c r="E1836" s="1">
        <v>0.0</v>
      </c>
      <c r="F1836" s="1">
        <v>0.0</v>
      </c>
    </row>
    <row r="1837">
      <c r="A1837" s="1" t="s">
        <v>1407</v>
      </c>
      <c r="B1837" s="1">
        <v>44.0</v>
      </c>
      <c r="C1837" s="1">
        <v>0.0</v>
      </c>
      <c r="D1837" s="1">
        <v>0.0</v>
      </c>
      <c r="E1837" s="1">
        <v>0.0</v>
      </c>
      <c r="F1837" s="1">
        <v>0.0</v>
      </c>
    </row>
    <row r="1838">
      <c r="A1838" s="1" t="s">
        <v>1272</v>
      </c>
      <c r="B1838" s="1">
        <v>14.0</v>
      </c>
      <c r="C1838" s="1">
        <v>0.0</v>
      </c>
      <c r="D1838" s="1">
        <v>0.0</v>
      </c>
      <c r="E1838" s="1">
        <v>0.0</v>
      </c>
      <c r="F1838" s="1">
        <v>0.0</v>
      </c>
    </row>
    <row r="1839">
      <c r="A1839" s="1" t="s">
        <v>548</v>
      </c>
      <c r="B1839" s="1">
        <v>54.0</v>
      </c>
      <c r="C1839" s="1">
        <v>0.0</v>
      </c>
      <c r="D1839" s="1">
        <v>0.0</v>
      </c>
      <c r="E1839" s="1">
        <v>0.0</v>
      </c>
      <c r="F1839" s="1">
        <v>0.0</v>
      </c>
    </row>
    <row r="1840">
      <c r="A1840" s="1" t="s">
        <v>1438</v>
      </c>
      <c r="B1840" s="1">
        <v>111.0</v>
      </c>
      <c r="C1840" s="1">
        <v>0.0</v>
      </c>
      <c r="D1840" s="1">
        <v>0.0</v>
      </c>
      <c r="E1840" s="1">
        <v>0.0</v>
      </c>
      <c r="F1840" s="1">
        <v>0.0</v>
      </c>
    </row>
    <row r="1841">
      <c r="A1841" s="1" t="s">
        <v>258</v>
      </c>
      <c r="B1841" s="1">
        <v>41.0</v>
      </c>
      <c r="C1841" s="1">
        <v>0.0</v>
      </c>
      <c r="D1841" s="1">
        <v>0.0</v>
      </c>
      <c r="E1841" s="1">
        <v>0.0</v>
      </c>
      <c r="F1841" s="1">
        <v>0.0</v>
      </c>
    </row>
    <row r="1842">
      <c r="A1842" s="1" t="s">
        <v>1215</v>
      </c>
      <c r="B1842" s="1">
        <v>7.0</v>
      </c>
      <c r="C1842" s="1">
        <v>0.0</v>
      </c>
      <c r="D1842" s="1">
        <v>0.0</v>
      </c>
      <c r="E1842" s="1">
        <v>0.0</v>
      </c>
      <c r="F1842" s="1">
        <v>0.0</v>
      </c>
    </row>
    <row r="1843">
      <c r="A1843" s="1" t="s">
        <v>1094</v>
      </c>
      <c r="B1843" s="1">
        <v>31.0</v>
      </c>
      <c r="C1843" s="1">
        <v>0.0</v>
      </c>
      <c r="D1843" s="1">
        <v>0.0</v>
      </c>
      <c r="E1843" s="1">
        <v>0.0</v>
      </c>
      <c r="F1843" s="1">
        <v>0.0</v>
      </c>
    </row>
    <row r="1844">
      <c r="A1844" s="1" t="s">
        <v>1406</v>
      </c>
      <c r="B1844" s="1">
        <v>51.0</v>
      </c>
      <c r="C1844" s="1">
        <v>0.0</v>
      </c>
      <c r="D1844" s="1">
        <v>0.0</v>
      </c>
      <c r="E1844" s="1">
        <v>0.0</v>
      </c>
      <c r="F1844" s="1">
        <v>0.0</v>
      </c>
    </row>
    <row r="1845">
      <c r="A1845" s="1" t="s">
        <v>694</v>
      </c>
      <c r="B1845" s="1">
        <v>215.0</v>
      </c>
      <c r="C1845" s="1">
        <v>2.0</v>
      </c>
      <c r="D1845" s="1">
        <v>0.0</v>
      </c>
      <c r="E1845" s="1">
        <v>0.0</v>
      </c>
      <c r="F1845" s="1">
        <v>0.0</v>
      </c>
    </row>
    <row r="1846">
      <c r="A1846" s="1" t="s">
        <v>1935</v>
      </c>
      <c r="B1846" s="1">
        <v>10.0</v>
      </c>
      <c r="C1846" s="1">
        <v>0.0</v>
      </c>
      <c r="D1846" s="1">
        <v>0.0</v>
      </c>
      <c r="E1846" s="1">
        <v>0.0</v>
      </c>
      <c r="F1846" s="1">
        <v>0.0</v>
      </c>
    </row>
    <row r="1847">
      <c r="A1847" s="1" t="s">
        <v>805</v>
      </c>
      <c r="B1847" s="1">
        <v>54.0</v>
      </c>
      <c r="C1847" s="1">
        <v>0.0</v>
      </c>
      <c r="D1847" s="1">
        <v>0.0</v>
      </c>
      <c r="E1847" s="1">
        <v>0.0</v>
      </c>
      <c r="F1847" s="1">
        <v>0.0</v>
      </c>
    </row>
    <row r="1848">
      <c r="A1848" s="1" t="s">
        <v>683</v>
      </c>
      <c r="B1848" s="1">
        <v>18.0</v>
      </c>
      <c r="C1848" s="1">
        <v>0.0</v>
      </c>
      <c r="D1848" s="1">
        <v>0.0</v>
      </c>
      <c r="E1848" s="1">
        <v>0.0</v>
      </c>
      <c r="F1848" s="1">
        <v>0.0</v>
      </c>
    </row>
    <row r="1849">
      <c r="A1849" s="1" t="s">
        <v>638</v>
      </c>
      <c r="B1849" s="1">
        <v>29.0</v>
      </c>
      <c r="C1849" s="1">
        <v>0.0</v>
      </c>
      <c r="D1849" s="1">
        <v>0.0</v>
      </c>
      <c r="E1849" s="1">
        <v>0.0</v>
      </c>
      <c r="F1849" s="1">
        <v>0.0</v>
      </c>
    </row>
    <row r="1850">
      <c r="A1850" s="1" t="s">
        <v>1497</v>
      </c>
      <c r="B1850" s="1">
        <v>90.0</v>
      </c>
      <c r="C1850" s="1">
        <v>0.0</v>
      </c>
      <c r="D1850" s="1">
        <v>0.0</v>
      </c>
      <c r="E1850" s="1">
        <v>0.0</v>
      </c>
      <c r="F1850" s="1">
        <v>0.0</v>
      </c>
    </row>
    <row r="1851">
      <c r="A1851" s="1" t="s">
        <v>1250</v>
      </c>
      <c r="B1851" s="1">
        <v>13.0</v>
      </c>
      <c r="C1851" s="1">
        <v>0.0</v>
      </c>
      <c r="D1851" s="1">
        <v>0.0</v>
      </c>
      <c r="E1851" s="1">
        <v>0.0</v>
      </c>
      <c r="F1851" s="1">
        <v>0.0</v>
      </c>
    </row>
    <row r="1852">
      <c r="A1852" s="1" t="s">
        <v>1809</v>
      </c>
      <c r="B1852" s="1">
        <v>3.0</v>
      </c>
      <c r="C1852" s="1">
        <v>0.0</v>
      </c>
      <c r="D1852" s="1">
        <v>0.0</v>
      </c>
      <c r="E1852" s="1">
        <v>0.0</v>
      </c>
      <c r="F1852" s="1">
        <v>0.0</v>
      </c>
    </row>
    <row r="1853">
      <c r="A1853" s="1" t="s">
        <v>983</v>
      </c>
      <c r="B1853" s="1">
        <v>327.0</v>
      </c>
      <c r="C1853" s="1">
        <v>0.0</v>
      </c>
      <c r="D1853" s="1">
        <v>0.0</v>
      </c>
      <c r="E1853" s="1">
        <v>0.0</v>
      </c>
      <c r="F1853" s="1">
        <v>0.0</v>
      </c>
    </row>
    <row r="1854">
      <c r="A1854" s="1" t="s">
        <v>1088</v>
      </c>
      <c r="B1854" s="1">
        <v>40.0</v>
      </c>
      <c r="C1854" s="1">
        <v>0.0</v>
      </c>
      <c r="D1854" s="1">
        <v>0.0</v>
      </c>
      <c r="E1854" s="1">
        <v>0.0</v>
      </c>
      <c r="F1854" s="1">
        <v>0.0</v>
      </c>
    </row>
    <row r="1855">
      <c r="A1855" s="1" t="s">
        <v>1646</v>
      </c>
      <c r="B1855" s="1">
        <v>67.0</v>
      </c>
      <c r="C1855" s="1">
        <v>0.0</v>
      </c>
      <c r="D1855" s="1">
        <v>0.0</v>
      </c>
      <c r="E1855" s="1">
        <v>0.0</v>
      </c>
      <c r="F1855" s="1">
        <v>0.0</v>
      </c>
    </row>
    <row r="1856">
      <c r="A1856" s="1" t="s">
        <v>486</v>
      </c>
      <c r="B1856" s="1">
        <v>23.0</v>
      </c>
      <c r="C1856" s="1">
        <v>0.0</v>
      </c>
      <c r="D1856" s="1">
        <v>0.0</v>
      </c>
      <c r="E1856" s="1">
        <v>0.0</v>
      </c>
      <c r="F1856" s="1">
        <v>0.0</v>
      </c>
    </row>
    <row r="1857">
      <c r="A1857" s="1" t="s">
        <v>849</v>
      </c>
      <c r="B1857" s="1">
        <v>33.0</v>
      </c>
      <c r="C1857" s="1">
        <v>0.0</v>
      </c>
      <c r="D1857" s="1">
        <v>0.0</v>
      </c>
      <c r="E1857" s="1">
        <v>0.0</v>
      </c>
      <c r="F1857" s="1">
        <v>0.0</v>
      </c>
    </row>
    <row r="1858">
      <c r="A1858" s="1" t="s">
        <v>1393</v>
      </c>
      <c r="B1858" s="1">
        <v>14.0</v>
      </c>
      <c r="C1858" s="1">
        <v>0.0</v>
      </c>
      <c r="D1858" s="1">
        <v>0.0</v>
      </c>
      <c r="E1858" s="1">
        <v>0.0</v>
      </c>
      <c r="F1858" s="1">
        <v>0.0</v>
      </c>
    </row>
    <row r="1859">
      <c r="A1859" s="1" t="s">
        <v>1958</v>
      </c>
      <c r="B1859" s="1">
        <v>22.0</v>
      </c>
      <c r="C1859" s="1">
        <v>0.0</v>
      </c>
      <c r="D1859" s="1">
        <v>0.0</v>
      </c>
      <c r="E1859" s="1">
        <v>0.0</v>
      </c>
      <c r="F1859" s="1">
        <v>0.0</v>
      </c>
    </row>
    <row r="1860">
      <c r="A1860" s="1" t="s">
        <v>1872</v>
      </c>
      <c r="B1860" s="1">
        <v>23.0</v>
      </c>
      <c r="C1860" s="1">
        <v>0.0</v>
      </c>
      <c r="D1860" s="1">
        <v>0.0</v>
      </c>
      <c r="E1860" s="1">
        <v>0.0</v>
      </c>
      <c r="F1860" s="1">
        <v>0.0</v>
      </c>
    </row>
    <row r="1861">
      <c r="A1861" s="1" t="s">
        <v>806</v>
      </c>
      <c r="B1861" s="1">
        <v>78.0</v>
      </c>
      <c r="C1861" s="1">
        <v>0.0</v>
      </c>
      <c r="D1861" s="1">
        <v>0.0</v>
      </c>
      <c r="E1861" s="1">
        <v>0.0</v>
      </c>
      <c r="F1861" s="1">
        <v>0.0</v>
      </c>
    </row>
    <row r="1862">
      <c r="A1862" s="1" t="s">
        <v>1559</v>
      </c>
      <c r="B1862" s="1">
        <v>38.0</v>
      </c>
      <c r="C1862" s="1">
        <v>0.0</v>
      </c>
      <c r="D1862" s="1">
        <v>0.0</v>
      </c>
      <c r="E1862" s="1">
        <v>0.0</v>
      </c>
      <c r="F1862" s="1">
        <v>0.0</v>
      </c>
    </row>
    <row r="1863">
      <c r="A1863" s="1" t="s">
        <v>1983</v>
      </c>
      <c r="B1863" s="1">
        <v>176.0</v>
      </c>
      <c r="C1863" s="1">
        <v>0.0</v>
      </c>
      <c r="D1863" s="1">
        <v>0.0</v>
      </c>
      <c r="E1863" s="1">
        <v>0.0</v>
      </c>
      <c r="F1863" s="1">
        <v>0.0</v>
      </c>
    </row>
    <row r="1864">
      <c r="A1864" s="1" t="s">
        <v>1413</v>
      </c>
      <c r="B1864" s="1">
        <v>19.0</v>
      </c>
      <c r="C1864" s="1">
        <v>0.0</v>
      </c>
      <c r="D1864" s="1">
        <v>0.0</v>
      </c>
      <c r="E1864" s="1">
        <v>0.0</v>
      </c>
      <c r="F1864" s="1">
        <v>0.0</v>
      </c>
    </row>
    <row r="1865">
      <c r="A1865" s="1" t="s">
        <v>1008</v>
      </c>
      <c r="B1865" s="1">
        <v>55.0</v>
      </c>
      <c r="C1865" s="1">
        <v>0.0</v>
      </c>
      <c r="D1865" s="1">
        <v>0.0</v>
      </c>
      <c r="E1865" s="1">
        <v>0.0</v>
      </c>
      <c r="F1865" s="1">
        <v>0.0</v>
      </c>
    </row>
    <row r="1866">
      <c r="A1866" s="1" t="s">
        <v>1286</v>
      </c>
      <c r="B1866" s="1">
        <v>124.0</v>
      </c>
      <c r="C1866" s="1">
        <v>0.0</v>
      </c>
      <c r="D1866" s="1">
        <v>0.0</v>
      </c>
      <c r="E1866" s="1">
        <v>0.0</v>
      </c>
      <c r="F1866" s="1">
        <v>0.0</v>
      </c>
    </row>
    <row r="1867">
      <c r="A1867" s="1" t="s">
        <v>521</v>
      </c>
      <c r="B1867" s="1">
        <v>23.0</v>
      </c>
      <c r="C1867" s="1">
        <v>0.0</v>
      </c>
      <c r="D1867" s="1">
        <v>0.0</v>
      </c>
      <c r="E1867" s="1">
        <v>0.0</v>
      </c>
      <c r="F1867" s="1">
        <v>0.0</v>
      </c>
    </row>
    <row r="1868">
      <c r="A1868" s="1" t="s">
        <v>1429</v>
      </c>
      <c r="B1868" s="1">
        <v>18.0</v>
      </c>
      <c r="C1868" s="1">
        <v>0.0</v>
      </c>
      <c r="D1868" s="1">
        <v>0.0</v>
      </c>
      <c r="E1868" s="1">
        <v>0.0</v>
      </c>
      <c r="F1868" s="1">
        <v>0.0</v>
      </c>
    </row>
    <row r="1869">
      <c r="A1869" s="1" t="s">
        <v>1305</v>
      </c>
      <c r="B1869" s="1">
        <v>35.0</v>
      </c>
      <c r="C1869" s="1">
        <v>0.0</v>
      </c>
      <c r="D1869" s="1">
        <v>0.0</v>
      </c>
      <c r="E1869" s="1">
        <v>0.0</v>
      </c>
      <c r="F1869" s="1">
        <v>0.0</v>
      </c>
    </row>
    <row r="1870">
      <c r="A1870" s="1" t="s">
        <v>670</v>
      </c>
      <c r="B1870" s="1">
        <v>28.0</v>
      </c>
      <c r="C1870" s="1">
        <v>0.0</v>
      </c>
      <c r="D1870" s="1">
        <v>0.0</v>
      </c>
      <c r="E1870" s="1">
        <v>0.0</v>
      </c>
      <c r="F1870" s="1">
        <v>0.0</v>
      </c>
    </row>
    <row r="1871">
      <c r="A1871" s="1" t="s">
        <v>543</v>
      </c>
      <c r="B1871" s="1">
        <v>14.0</v>
      </c>
      <c r="C1871" s="1">
        <v>0.0</v>
      </c>
      <c r="D1871" s="1">
        <v>0.0</v>
      </c>
      <c r="E1871" s="1">
        <v>0.0</v>
      </c>
      <c r="F1871" s="1">
        <v>0.0</v>
      </c>
    </row>
    <row r="1872">
      <c r="A1872" s="1" t="s">
        <v>1267</v>
      </c>
      <c r="B1872" s="1">
        <v>82.0</v>
      </c>
      <c r="C1872" s="1">
        <v>0.0</v>
      </c>
      <c r="D1872" s="1">
        <v>0.0</v>
      </c>
      <c r="E1872" s="1">
        <v>0.0</v>
      </c>
      <c r="F1872" s="1">
        <v>0.0</v>
      </c>
    </row>
    <row r="1873">
      <c r="A1873" s="1" t="s">
        <v>2064</v>
      </c>
      <c r="B1873" s="1">
        <v>4.0</v>
      </c>
      <c r="C1873" s="1">
        <v>0.0</v>
      </c>
      <c r="D1873" s="1">
        <v>0.0</v>
      </c>
      <c r="E1873" s="1">
        <v>0.0</v>
      </c>
      <c r="F1873" s="1">
        <v>0.0</v>
      </c>
    </row>
    <row r="1874">
      <c r="A1874" s="1" t="s">
        <v>289</v>
      </c>
      <c r="B1874" s="1">
        <v>34.0</v>
      </c>
      <c r="C1874" s="1">
        <v>0.0</v>
      </c>
      <c r="D1874" s="1">
        <v>0.0</v>
      </c>
      <c r="E1874" s="1">
        <v>0.0</v>
      </c>
      <c r="F1874" s="1">
        <v>0.0</v>
      </c>
    </row>
    <row r="1875">
      <c r="A1875" s="1" t="s">
        <v>1672</v>
      </c>
      <c r="B1875" s="1">
        <v>66.0</v>
      </c>
      <c r="C1875" s="1">
        <v>0.0</v>
      </c>
      <c r="D1875" s="1">
        <v>0.0</v>
      </c>
      <c r="E1875" s="1">
        <v>0.0</v>
      </c>
      <c r="F1875" s="1">
        <v>0.0</v>
      </c>
    </row>
    <row r="1876">
      <c r="A1876" s="1" t="s">
        <v>1664</v>
      </c>
      <c r="B1876" s="1">
        <v>46.0</v>
      </c>
      <c r="C1876" s="1">
        <v>0.0</v>
      </c>
      <c r="D1876" s="1">
        <v>0.0</v>
      </c>
      <c r="E1876" s="1">
        <v>0.0</v>
      </c>
      <c r="F1876" s="1">
        <v>0.0</v>
      </c>
    </row>
    <row r="1877">
      <c r="A1877" s="1" t="s">
        <v>1755</v>
      </c>
      <c r="B1877" s="1">
        <v>5.0</v>
      </c>
      <c r="C1877" s="1">
        <v>0.0</v>
      </c>
      <c r="D1877" s="1">
        <v>0.0</v>
      </c>
      <c r="E1877" s="1">
        <v>0.0</v>
      </c>
      <c r="F1877" s="1">
        <v>0.0</v>
      </c>
    </row>
    <row r="1878">
      <c r="A1878" s="1" t="s">
        <v>1848</v>
      </c>
      <c r="B1878" s="1">
        <v>64.0</v>
      </c>
      <c r="C1878" s="1">
        <v>0.0</v>
      </c>
      <c r="D1878" s="1">
        <v>0.0</v>
      </c>
      <c r="E1878" s="1">
        <v>0.0</v>
      </c>
      <c r="F1878" s="1">
        <v>0.0</v>
      </c>
    </row>
    <row r="1879">
      <c r="A1879" s="1" t="s">
        <v>1690</v>
      </c>
      <c r="B1879" s="1">
        <v>23.0</v>
      </c>
      <c r="C1879" s="1">
        <v>0.0</v>
      </c>
      <c r="D1879" s="1">
        <v>0.0</v>
      </c>
      <c r="E1879" s="1">
        <v>0.0</v>
      </c>
      <c r="F1879" s="1">
        <v>0.0</v>
      </c>
    </row>
    <row r="1880">
      <c r="A1880" s="1" t="s">
        <v>825</v>
      </c>
      <c r="B1880" s="1">
        <v>12.0</v>
      </c>
      <c r="C1880" s="1">
        <v>0.0</v>
      </c>
      <c r="D1880" s="1">
        <v>0.0</v>
      </c>
      <c r="E1880" s="1">
        <v>0.0</v>
      </c>
      <c r="F1880" s="1">
        <v>0.0</v>
      </c>
    </row>
    <row r="1881">
      <c r="A1881" s="1" t="s">
        <v>1277</v>
      </c>
      <c r="B1881" s="1">
        <v>16.0</v>
      </c>
      <c r="C1881" s="1">
        <v>0.0</v>
      </c>
      <c r="D1881" s="1">
        <v>0.0</v>
      </c>
      <c r="E1881" s="1">
        <v>0.0</v>
      </c>
      <c r="F1881" s="1">
        <v>0.0</v>
      </c>
    </row>
    <row r="1882">
      <c r="A1882" s="1" t="s">
        <v>1465</v>
      </c>
      <c r="B1882" s="1">
        <v>15.0</v>
      </c>
      <c r="C1882" s="1">
        <v>0.0</v>
      </c>
      <c r="D1882" s="1">
        <v>0.0</v>
      </c>
      <c r="E1882" s="1">
        <v>0.0</v>
      </c>
      <c r="F1882" s="1">
        <v>0.0</v>
      </c>
    </row>
    <row r="1883">
      <c r="A1883" s="1" t="s">
        <v>1334</v>
      </c>
      <c r="B1883" s="1">
        <v>62.0</v>
      </c>
      <c r="C1883" s="1">
        <v>0.0</v>
      </c>
      <c r="D1883" s="1">
        <v>0.0</v>
      </c>
      <c r="E1883" s="1">
        <v>0.0</v>
      </c>
      <c r="F1883" s="1">
        <v>0.0</v>
      </c>
    </row>
    <row r="1884">
      <c r="A1884" s="1" t="s">
        <v>1558</v>
      </c>
      <c r="B1884" s="1">
        <v>62.0</v>
      </c>
      <c r="C1884" s="1">
        <v>0.0</v>
      </c>
      <c r="D1884" s="1">
        <v>0.0</v>
      </c>
      <c r="E1884" s="1">
        <v>0.0</v>
      </c>
      <c r="F1884" s="1">
        <v>0.0</v>
      </c>
    </row>
    <row r="1885">
      <c r="A1885" s="1" t="s">
        <v>1019</v>
      </c>
      <c r="B1885" s="1">
        <v>42.0</v>
      </c>
      <c r="C1885" s="1">
        <v>0.0</v>
      </c>
      <c r="D1885" s="1">
        <v>0.0</v>
      </c>
      <c r="E1885" s="1">
        <v>0.0</v>
      </c>
      <c r="F1885" s="1">
        <v>0.0</v>
      </c>
    </row>
    <row r="1886">
      <c r="A1886" s="1" t="s">
        <v>1813</v>
      </c>
      <c r="B1886" s="1">
        <v>30.0</v>
      </c>
      <c r="C1886" s="1">
        <v>0.0</v>
      </c>
      <c r="D1886" s="1">
        <v>0.0</v>
      </c>
      <c r="E1886" s="1">
        <v>0.0</v>
      </c>
      <c r="F1886" s="1">
        <v>0.0</v>
      </c>
    </row>
    <row r="1887">
      <c r="A1887" s="1" t="s">
        <v>1266</v>
      </c>
      <c r="B1887" s="1">
        <v>36.0</v>
      </c>
      <c r="C1887" s="1">
        <v>0.0</v>
      </c>
      <c r="D1887" s="1">
        <v>0.0</v>
      </c>
      <c r="E1887" s="1">
        <v>0.0</v>
      </c>
      <c r="F1887" s="1">
        <v>0.0</v>
      </c>
    </row>
    <row r="1888">
      <c r="A1888" s="1" t="s">
        <v>1867</v>
      </c>
      <c r="B1888" s="1">
        <v>45.0</v>
      </c>
      <c r="C1888" s="1">
        <v>0.0</v>
      </c>
      <c r="D1888" s="1">
        <v>0.0</v>
      </c>
      <c r="E1888" s="1">
        <v>0.0</v>
      </c>
      <c r="F1888" s="1">
        <v>0.0</v>
      </c>
    </row>
    <row r="1889">
      <c r="A1889" s="1" t="s">
        <v>1344</v>
      </c>
      <c r="B1889" s="1">
        <v>127.0</v>
      </c>
      <c r="C1889" s="1">
        <v>0.0</v>
      </c>
      <c r="D1889" s="1">
        <v>0.0</v>
      </c>
      <c r="E1889" s="1">
        <v>0.0</v>
      </c>
      <c r="F1889" s="1">
        <v>0.0</v>
      </c>
    </row>
    <row r="1890">
      <c r="A1890" s="1" t="s">
        <v>923</v>
      </c>
      <c r="B1890" s="1">
        <v>10.0</v>
      </c>
      <c r="C1890" s="1">
        <v>0.0</v>
      </c>
      <c r="D1890" s="1">
        <v>0.0</v>
      </c>
      <c r="E1890" s="1">
        <v>0.0</v>
      </c>
      <c r="F1890" s="1">
        <v>0.0</v>
      </c>
    </row>
    <row r="1891">
      <c r="A1891" s="1" t="s">
        <v>796</v>
      </c>
      <c r="B1891" s="1">
        <v>11.0</v>
      </c>
      <c r="C1891" s="1">
        <v>0.0</v>
      </c>
      <c r="D1891" s="1">
        <v>0.0</v>
      </c>
      <c r="E1891" s="1">
        <v>0.0</v>
      </c>
      <c r="F1891" s="1">
        <v>0.0</v>
      </c>
    </row>
    <row r="1892">
      <c r="A1892" s="1" t="s">
        <v>1065</v>
      </c>
      <c r="B1892" s="1">
        <v>26.0</v>
      </c>
      <c r="C1892" s="1">
        <v>0.0</v>
      </c>
      <c r="D1892" s="1">
        <v>0.0</v>
      </c>
      <c r="E1892" s="1">
        <v>0.0</v>
      </c>
      <c r="F1892" s="1">
        <v>0.0</v>
      </c>
    </row>
    <row r="1893">
      <c r="A1893" s="1" t="s">
        <v>1477</v>
      </c>
      <c r="B1893" s="1">
        <v>58.0</v>
      </c>
      <c r="C1893" s="1">
        <v>0.0</v>
      </c>
      <c r="D1893" s="1">
        <v>0.0</v>
      </c>
      <c r="E1893" s="1">
        <v>0.0</v>
      </c>
      <c r="F1893" s="1">
        <v>0.0</v>
      </c>
    </row>
    <row r="1894">
      <c r="A1894" s="1" t="s">
        <v>403</v>
      </c>
      <c r="B1894" s="1">
        <v>16.0</v>
      </c>
      <c r="C1894" s="1">
        <v>0.0</v>
      </c>
      <c r="D1894" s="1">
        <v>0.0</v>
      </c>
      <c r="E1894" s="1">
        <v>0.0</v>
      </c>
      <c r="F1894" s="1">
        <v>0.0</v>
      </c>
    </row>
    <row r="1895">
      <c r="A1895" s="1" t="s">
        <v>759</v>
      </c>
      <c r="B1895" s="1">
        <v>74.0</v>
      </c>
      <c r="C1895" s="1">
        <v>0.0</v>
      </c>
      <c r="D1895" s="1">
        <v>0.0</v>
      </c>
      <c r="E1895" s="1">
        <v>0.0</v>
      </c>
      <c r="F1895" s="1">
        <v>0.0</v>
      </c>
    </row>
    <row r="1896">
      <c r="A1896" s="1" t="s">
        <v>1257</v>
      </c>
      <c r="B1896" s="1">
        <v>24.0</v>
      </c>
      <c r="C1896" s="1">
        <v>0.0</v>
      </c>
      <c r="D1896" s="1">
        <v>0.0</v>
      </c>
      <c r="E1896" s="1">
        <v>0.0</v>
      </c>
      <c r="F1896" s="1">
        <v>0.0</v>
      </c>
    </row>
    <row r="1897">
      <c r="A1897" s="1" t="s">
        <v>482</v>
      </c>
      <c r="B1897" s="1">
        <v>36.0</v>
      </c>
      <c r="C1897" s="1">
        <v>0.0</v>
      </c>
      <c r="D1897" s="1">
        <v>0.0</v>
      </c>
      <c r="E1897" s="1">
        <v>0.0</v>
      </c>
      <c r="F1897" s="1">
        <v>0.0</v>
      </c>
    </row>
    <row r="1898">
      <c r="A1898" s="1" t="s">
        <v>1704</v>
      </c>
      <c r="B1898" s="1">
        <v>18.0</v>
      </c>
      <c r="C1898" s="1">
        <v>0.0</v>
      </c>
      <c r="D1898" s="1">
        <v>0.0</v>
      </c>
      <c r="E1898" s="1">
        <v>0.0</v>
      </c>
      <c r="F1898" s="1">
        <v>0.0</v>
      </c>
    </row>
    <row r="1899">
      <c r="A1899" s="1" t="s">
        <v>1920</v>
      </c>
      <c r="B1899" s="1">
        <v>44.0</v>
      </c>
      <c r="C1899" s="1">
        <v>0.0</v>
      </c>
      <c r="D1899" s="1">
        <v>0.0</v>
      </c>
      <c r="E1899" s="1">
        <v>0.0</v>
      </c>
      <c r="F1899" s="1">
        <v>0.0</v>
      </c>
    </row>
    <row r="1900">
      <c r="A1900" s="1" t="s">
        <v>1079</v>
      </c>
      <c r="B1900" s="1">
        <v>141.0</v>
      </c>
      <c r="C1900" s="1">
        <v>0.0</v>
      </c>
      <c r="D1900" s="1">
        <v>0.0</v>
      </c>
      <c r="E1900" s="1">
        <v>0.0</v>
      </c>
      <c r="F1900" s="1">
        <v>0.0</v>
      </c>
    </row>
    <row r="1901">
      <c r="A1901" s="1" t="s">
        <v>1154</v>
      </c>
      <c r="B1901" s="1">
        <v>196.0</v>
      </c>
      <c r="C1901" s="1">
        <v>0.0</v>
      </c>
      <c r="D1901" s="1">
        <v>0.0</v>
      </c>
      <c r="E1901" s="1">
        <v>0.0</v>
      </c>
      <c r="F1901" s="1">
        <v>0.0</v>
      </c>
    </row>
    <row r="1902">
      <c r="A1902" s="1" t="s">
        <v>1219</v>
      </c>
      <c r="B1902" s="1">
        <v>90.0</v>
      </c>
      <c r="C1902" s="1">
        <v>0.0</v>
      </c>
      <c r="D1902" s="1">
        <v>0.0</v>
      </c>
      <c r="E1902" s="1">
        <v>0.0</v>
      </c>
      <c r="F1902" s="1">
        <v>0.0</v>
      </c>
    </row>
    <row r="1903">
      <c r="A1903" s="1" t="s">
        <v>1590</v>
      </c>
      <c r="B1903" s="1">
        <v>72.0</v>
      </c>
      <c r="C1903" s="1">
        <v>0.0</v>
      </c>
      <c r="D1903" s="1">
        <v>0.0</v>
      </c>
      <c r="E1903" s="1">
        <v>0.0</v>
      </c>
      <c r="F1903" s="1">
        <v>0.0</v>
      </c>
    </row>
    <row r="1904">
      <c r="A1904" s="1" t="s">
        <v>1617</v>
      </c>
      <c r="B1904" s="1">
        <v>86.0</v>
      </c>
      <c r="C1904" s="1">
        <v>0.0</v>
      </c>
      <c r="D1904" s="1">
        <v>0.0</v>
      </c>
      <c r="E1904" s="1">
        <v>0.0</v>
      </c>
      <c r="F1904" s="1">
        <v>0.0</v>
      </c>
    </row>
    <row r="1905">
      <c r="A1905" s="1" t="s">
        <v>686</v>
      </c>
      <c r="B1905" s="1">
        <v>29.0</v>
      </c>
      <c r="C1905" s="1">
        <v>0.0</v>
      </c>
      <c r="D1905" s="1">
        <v>0.0</v>
      </c>
      <c r="E1905" s="1">
        <v>0.0</v>
      </c>
      <c r="F1905" s="1">
        <v>0.0</v>
      </c>
    </row>
    <row r="1906">
      <c r="A1906" s="1" t="s">
        <v>773</v>
      </c>
      <c r="B1906" s="1">
        <v>5.0</v>
      </c>
      <c r="C1906" s="1">
        <v>0.0</v>
      </c>
      <c r="D1906" s="1">
        <v>0.0</v>
      </c>
      <c r="E1906" s="1">
        <v>0.0</v>
      </c>
      <c r="F1906" s="1">
        <v>0.0</v>
      </c>
    </row>
    <row r="1907">
      <c r="A1907" s="1" t="s">
        <v>460</v>
      </c>
      <c r="B1907" s="1">
        <v>34.0</v>
      </c>
      <c r="C1907" s="1">
        <v>0.0</v>
      </c>
      <c r="D1907" s="1">
        <v>0.0</v>
      </c>
      <c r="E1907" s="1">
        <v>0.0</v>
      </c>
      <c r="F1907" s="1">
        <v>0.0</v>
      </c>
    </row>
    <row r="1908">
      <c r="A1908" s="1" t="s">
        <v>2089</v>
      </c>
      <c r="B1908" s="1">
        <v>9.0</v>
      </c>
      <c r="C1908" s="1">
        <v>0.0</v>
      </c>
      <c r="D1908" s="1">
        <v>0.0</v>
      </c>
      <c r="E1908" s="1">
        <v>0.0</v>
      </c>
      <c r="F1908" s="1">
        <v>0.0</v>
      </c>
    </row>
    <row r="1909">
      <c r="A1909" s="1" t="s">
        <v>1127</v>
      </c>
      <c r="B1909" s="1">
        <v>23.0</v>
      </c>
      <c r="C1909" s="1">
        <v>0.0</v>
      </c>
      <c r="D1909" s="1">
        <v>0.0</v>
      </c>
      <c r="E1909" s="1">
        <v>0.0</v>
      </c>
      <c r="F1909" s="1">
        <v>0.0</v>
      </c>
    </row>
    <row r="1910">
      <c r="A1910" s="1" t="s">
        <v>1910</v>
      </c>
      <c r="B1910" s="1">
        <v>26.0</v>
      </c>
      <c r="C1910" s="1">
        <v>0.0</v>
      </c>
      <c r="D1910" s="1">
        <v>0.0</v>
      </c>
      <c r="E1910" s="1">
        <v>0.0</v>
      </c>
      <c r="F1910" s="1">
        <v>0.0</v>
      </c>
    </row>
    <row r="1911">
      <c r="A1911" s="1" t="s">
        <v>1667</v>
      </c>
      <c r="B1911" s="1">
        <v>28.0</v>
      </c>
      <c r="C1911" s="1">
        <v>0.0</v>
      </c>
      <c r="D1911" s="1">
        <v>0.0</v>
      </c>
      <c r="E1911" s="1">
        <v>0.0</v>
      </c>
      <c r="F1911" s="1">
        <v>0.0</v>
      </c>
    </row>
    <row r="1912">
      <c r="A1912" s="1" t="s">
        <v>1338</v>
      </c>
      <c r="B1912" s="1">
        <v>5.0</v>
      </c>
      <c r="C1912" s="1">
        <v>0.0</v>
      </c>
      <c r="D1912" s="1">
        <v>0.0</v>
      </c>
      <c r="E1912" s="1">
        <v>0.0</v>
      </c>
      <c r="F1912" s="1">
        <v>0.0</v>
      </c>
    </row>
    <row r="1913">
      <c r="A1913" s="1" t="s">
        <v>600</v>
      </c>
      <c r="B1913" s="1">
        <v>53.0</v>
      </c>
      <c r="C1913" s="1">
        <v>0.0</v>
      </c>
      <c r="D1913" s="1">
        <v>0.0</v>
      </c>
      <c r="E1913" s="1">
        <v>0.0</v>
      </c>
      <c r="F1913" s="1">
        <v>0.0</v>
      </c>
    </row>
    <row r="1914">
      <c r="A1914" s="1" t="s">
        <v>1231</v>
      </c>
      <c r="B1914" s="1">
        <v>21.0</v>
      </c>
      <c r="C1914" s="1">
        <v>0.0</v>
      </c>
      <c r="D1914" s="1">
        <v>0.0</v>
      </c>
      <c r="E1914" s="1">
        <v>0.0</v>
      </c>
      <c r="F1914" s="1">
        <v>0.0</v>
      </c>
    </row>
    <row r="1915">
      <c r="A1915" s="1" t="s">
        <v>1314</v>
      </c>
      <c r="B1915" s="1">
        <v>83.0</v>
      </c>
      <c r="C1915" s="1">
        <v>0.0</v>
      </c>
      <c r="D1915" s="1">
        <v>0.0</v>
      </c>
      <c r="E1915" s="1">
        <v>0.0</v>
      </c>
      <c r="F1915" s="1">
        <v>0.0</v>
      </c>
    </row>
    <row r="1916">
      <c r="A1916" s="1" t="s">
        <v>302</v>
      </c>
      <c r="B1916" s="1">
        <v>139.0</v>
      </c>
      <c r="C1916" s="1">
        <v>0.0</v>
      </c>
      <c r="D1916" s="1">
        <v>0.0</v>
      </c>
      <c r="E1916" s="1">
        <v>0.0</v>
      </c>
      <c r="F1916" s="1">
        <v>0.0</v>
      </c>
    </row>
    <row r="1917">
      <c r="A1917" s="1" t="s">
        <v>1363</v>
      </c>
      <c r="B1917" s="1">
        <v>4.0</v>
      </c>
      <c r="C1917" s="1">
        <v>0.0</v>
      </c>
      <c r="D1917" s="1">
        <v>0.0</v>
      </c>
      <c r="E1917" s="1">
        <v>0.0</v>
      </c>
      <c r="F1917" s="1">
        <v>0.0</v>
      </c>
    </row>
    <row r="1918">
      <c r="A1918" s="1" t="s">
        <v>1137</v>
      </c>
      <c r="B1918" s="1">
        <v>138.0</v>
      </c>
      <c r="C1918" s="1">
        <v>0.0</v>
      </c>
      <c r="D1918" s="1">
        <v>0.0</v>
      </c>
      <c r="E1918" s="1">
        <v>0.0</v>
      </c>
      <c r="F1918" s="1">
        <v>0.0</v>
      </c>
    </row>
    <row r="1919">
      <c r="A1919" s="1" t="s">
        <v>466</v>
      </c>
      <c r="B1919" s="1">
        <v>110.0</v>
      </c>
      <c r="C1919" s="1">
        <v>0.0</v>
      </c>
      <c r="D1919" s="1">
        <v>0.0</v>
      </c>
      <c r="E1919" s="1">
        <v>0.0</v>
      </c>
      <c r="F1919" s="1">
        <v>0.0</v>
      </c>
    </row>
    <row r="1920">
      <c r="A1920" s="1" t="s">
        <v>908</v>
      </c>
      <c r="B1920" s="1">
        <v>24.0</v>
      </c>
      <c r="C1920" s="1">
        <v>0.0</v>
      </c>
      <c r="D1920" s="1">
        <v>0.0</v>
      </c>
      <c r="E1920" s="1">
        <v>0.0</v>
      </c>
      <c r="F1920" s="1">
        <v>0.0</v>
      </c>
    </row>
    <row r="1921">
      <c r="A1921" s="1" t="s">
        <v>1562</v>
      </c>
      <c r="B1921" s="1">
        <v>85.0</v>
      </c>
      <c r="C1921" s="1">
        <v>0.0</v>
      </c>
      <c r="D1921" s="1">
        <v>0.0</v>
      </c>
      <c r="E1921" s="1">
        <v>0.0</v>
      </c>
      <c r="F1921" s="1">
        <v>0.0</v>
      </c>
    </row>
    <row r="1922">
      <c r="A1922" s="1" t="s">
        <v>1963</v>
      </c>
      <c r="B1922" s="1">
        <v>15.0</v>
      </c>
      <c r="C1922" s="1">
        <v>0.0</v>
      </c>
      <c r="D1922" s="1">
        <v>0.0</v>
      </c>
      <c r="E1922" s="1">
        <v>0.0</v>
      </c>
      <c r="F1922" s="1">
        <v>0.0</v>
      </c>
    </row>
    <row r="1923">
      <c r="A1923" s="1" t="s">
        <v>1699</v>
      </c>
      <c r="B1923" s="1">
        <v>19.0</v>
      </c>
      <c r="C1923" s="1">
        <v>0.0</v>
      </c>
      <c r="D1923" s="1">
        <v>0.0</v>
      </c>
      <c r="E1923" s="1">
        <v>0.0</v>
      </c>
      <c r="F1923" s="1">
        <v>0.0</v>
      </c>
    </row>
    <row r="1924">
      <c r="A1924" s="1" t="s">
        <v>458</v>
      </c>
      <c r="B1924" s="1">
        <v>14.0</v>
      </c>
      <c r="C1924" s="1">
        <v>0.0</v>
      </c>
      <c r="D1924" s="1">
        <v>0.0</v>
      </c>
      <c r="E1924" s="1">
        <v>0.0</v>
      </c>
      <c r="F1924" s="1">
        <v>0.0</v>
      </c>
    </row>
    <row r="1925">
      <c r="A1925" s="1" t="s">
        <v>1046</v>
      </c>
      <c r="B1925" s="1">
        <v>10.0</v>
      </c>
      <c r="C1925" s="1">
        <v>0.0</v>
      </c>
      <c r="D1925" s="1">
        <v>0.0</v>
      </c>
      <c r="E1925" s="1">
        <v>0.0</v>
      </c>
      <c r="F1925" s="1">
        <v>0.0</v>
      </c>
    </row>
    <row r="1926">
      <c r="A1926" s="1" t="s">
        <v>1881</v>
      </c>
      <c r="B1926" s="1">
        <v>131.0</v>
      </c>
      <c r="C1926" s="1">
        <v>0.0</v>
      </c>
      <c r="D1926" s="1">
        <v>0.0</v>
      </c>
      <c r="E1926" s="1">
        <v>0.0</v>
      </c>
      <c r="F1926" s="1">
        <v>0.0</v>
      </c>
    </row>
    <row r="1927">
      <c r="A1927" s="1" t="s">
        <v>450</v>
      </c>
      <c r="B1927" s="1">
        <v>48.0</v>
      </c>
      <c r="C1927" s="1">
        <v>0.0</v>
      </c>
      <c r="D1927" s="1">
        <v>0.0</v>
      </c>
      <c r="E1927" s="1">
        <v>0.0</v>
      </c>
      <c r="F1927" s="1">
        <v>0.0</v>
      </c>
    </row>
    <row r="1928">
      <c r="A1928" s="1" t="s">
        <v>499</v>
      </c>
      <c r="B1928" s="1">
        <v>47.0</v>
      </c>
      <c r="C1928" s="1">
        <v>0.0</v>
      </c>
      <c r="D1928" s="1">
        <v>0.0</v>
      </c>
      <c r="E1928" s="1">
        <v>0.0</v>
      </c>
      <c r="F1928" s="1">
        <v>0.0</v>
      </c>
    </row>
    <row r="1929">
      <c r="A1929" s="1" t="s">
        <v>1415</v>
      </c>
      <c r="B1929" s="1">
        <v>17.0</v>
      </c>
      <c r="C1929" s="1">
        <v>0.0</v>
      </c>
      <c r="D1929" s="1">
        <v>0.0</v>
      </c>
      <c r="E1929" s="1">
        <v>0.0</v>
      </c>
      <c r="F1929" s="1">
        <v>0.0</v>
      </c>
    </row>
    <row r="1930">
      <c r="A1930" s="1" t="s">
        <v>1474</v>
      </c>
      <c r="B1930" s="1">
        <v>65.0</v>
      </c>
      <c r="C1930" s="1">
        <v>0.0</v>
      </c>
      <c r="D1930" s="1">
        <v>0.0</v>
      </c>
      <c r="E1930" s="1">
        <v>0.0</v>
      </c>
      <c r="F1930" s="1">
        <v>0.0</v>
      </c>
    </row>
    <row r="1931">
      <c r="A1931" s="1" t="s">
        <v>2027</v>
      </c>
      <c r="B1931" s="1">
        <v>9.0</v>
      </c>
      <c r="C1931" s="1">
        <v>0.0</v>
      </c>
      <c r="D1931" s="1">
        <v>0.0</v>
      </c>
      <c r="E1931" s="1">
        <v>0.0</v>
      </c>
      <c r="F1931" s="1">
        <v>0.0</v>
      </c>
    </row>
    <row r="1932">
      <c r="A1932" s="1" t="s">
        <v>280</v>
      </c>
      <c r="B1932" s="1">
        <v>50.0</v>
      </c>
      <c r="C1932" s="1">
        <v>0.0</v>
      </c>
      <c r="D1932" s="1">
        <v>0.0</v>
      </c>
      <c r="E1932" s="1">
        <v>0.0</v>
      </c>
      <c r="F1932" s="1">
        <v>0.0</v>
      </c>
    </row>
    <row r="1933">
      <c r="A1933" s="1" t="s">
        <v>1298</v>
      </c>
      <c r="B1933" s="1">
        <v>5.0</v>
      </c>
      <c r="C1933" s="1">
        <v>0.0</v>
      </c>
      <c r="D1933" s="1">
        <v>0.0</v>
      </c>
      <c r="E1933" s="1">
        <v>0.0</v>
      </c>
      <c r="F1933" s="1">
        <v>0.0</v>
      </c>
    </row>
    <row r="1934">
      <c r="A1934" s="1" t="s">
        <v>706</v>
      </c>
      <c r="B1934" s="1">
        <v>90.0</v>
      </c>
      <c r="C1934" s="1">
        <v>0.0</v>
      </c>
      <c r="D1934" s="1">
        <v>0.0</v>
      </c>
      <c r="E1934" s="1">
        <v>0.0</v>
      </c>
      <c r="F1934" s="1">
        <v>0.0</v>
      </c>
    </row>
    <row r="1935">
      <c r="A1935" s="1" t="s">
        <v>250</v>
      </c>
      <c r="B1935" s="1">
        <v>329.0</v>
      </c>
      <c r="C1935" s="1">
        <v>4.0</v>
      </c>
      <c r="D1935" s="1">
        <v>0.0</v>
      </c>
      <c r="E1935" s="1">
        <v>1.0</v>
      </c>
      <c r="F1935" s="1">
        <v>0.0</v>
      </c>
    </row>
    <row r="1936">
      <c r="A1936" s="1" t="s">
        <v>1651</v>
      </c>
      <c r="B1936" s="1">
        <v>13.0</v>
      </c>
      <c r="C1936" s="1">
        <v>0.0</v>
      </c>
      <c r="D1936" s="1">
        <v>0.0</v>
      </c>
      <c r="E1936" s="1">
        <v>0.0</v>
      </c>
      <c r="F1936" s="1">
        <v>0.0</v>
      </c>
    </row>
    <row r="1937">
      <c r="A1937" s="1" t="s">
        <v>264</v>
      </c>
      <c r="B1937" s="1">
        <v>29.0</v>
      </c>
      <c r="C1937" s="1">
        <v>0.0</v>
      </c>
      <c r="D1937" s="1">
        <v>0.0</v>
      </c>
      <c r="E1937" s="1">
        <v>0.0</v>
      </c>
      <c r="F1937" s="1">
        <v>0.0</v>
      </c>
    </row>
    <row r="1938">
      <c r="A1938" s="1" t="s">
        <v>570</v>
      </c>
      <c r="B1938" s="1">
        <v>162.0</v>
      </c>
      <c r="C1938" s="1">
        <v>0.0</v>
      </c>
      <c r="D1938" s="1">
        <v>0.0</v>
      </c>
      <c r="E1938" s="1">
        <v>0.0</v>
      </c>
      <c r="F1938" s="1">
        <v>0.0</v>
      </c>
    </row>
    <row r="1939">
      <c r="A1939" s="1" t="s">
        <v>1507</v>
      </c>
      <c r="B1939" s="1">
        <v>22.0</v>
      </c>
      <c r="C1939" s="1">
        <v>0.0</v>
      </c>
      <c r="D1939" s="1">
        <v>0.0</v>
      </c>
      <c r="E1939" s="1">
        <v>0.0</v>
      </c>
      <c r="F1939" s="1">
        <v>0.0</v>
      </c>
    </row>
    <row r="1940">
      <c r="A1940" s="1" t="s">
        <v>1089</v>
      </c>
      <c r="B1940" s="1">
        <v>99.0</v>
      </c>
      <c r="C1940" s="1">
        <v>0.0</v>
      </c>
      <c r="D1940" s="1">
        <v>0.0</v>
      </c>
      <c r="E1940" s="1">
        <v>0.0</v>
      </c>
      <c r="F1940" s="1">
        <v>0.0</v>
      </c>
    </row>
    <row r="1941">
      <c r="A1941" s="1" t="s">
        <v>1548</v>
      </c>
      <c r="B1941" s="1">
        <v>22.0</v>
      </c>
      <c r="C1941" s="1">
        <v>0.0</v>
      </c>
      <c r="D1941" s="1">
        <v>0.0</v>
      </c>
      <c r="E1941" s="1">
        <v>0.0</v>
      </c>
      <c r="F1941" s="1">
        <v>0.0</v>
      </c>
    </row>
    <row r="1942">
      <c r="A1942" s="1" t="s">
        <v>1647</v>
      </c>
      <c r="B1942" s="1">
        <v>124.0</v>
      </c>
      <c r="C1942" s="1">
        <v>0.0</v>
      </c>
      <c r="D1942" s="1">
        <v>0.0</v>
      </c>
      <c r="E1942" s="1">
        <v>0.0</v>
      </c>
      <c r="F1942" s="1">
        <v>0.0</v>
      </c>
    </row>
    <row r="1943">
      <c r="A1943" s="1" t="s">
        <v>1131</v>
      </c>
      <c r="B1943" s="1">
        <v>43.0</v>
      </c>
      <c r="C1943" s="1">
        <v>0.0</v>
      </c>
      <c r="D1943" s="1">
        <v>0.0</v>
      </c>
      <c r="E1943" s="1">
        <v>0.0</v>
      </c>
      <c r="F1943" s="1">
        <v>0.0</v>
      </c>
    </row>
    <row r="1944">
      <c r="A1944" s="1" t="s">
        <v>1821</v>
      </c>
      <c r="B1944" s="1">
        <v>15.0</v>
      </c>
      <c r="C1944" s="1">
        <v>0.0</v>
      </c>
      <c r="D1944" s="1">
        <v>0.0</v>
      </c>
      <c r="E1944" s="1">
        <v>0.0</v>
      </c>
      <c r="F1944" s="1">
        <v>0.0</v>
      </c>
    </row>
    <row r="1945">
      <c r="A1945" s="1" t="s">
        <v>938</v>
      </c>
      <c r="B1945" s="1">
        <v>24.0</v>
      </c>
      <c r="C1945" s="1">
        <v>0.0</v>
      </c>
      <c r="D1945" s="1">
        <v>0.0</v>
      </c>
      <c r="E1945" s="1">
        <v>0.0</v>
      </c>
      <c r="F1945" s="1">
        <v>0.0</v>
      </c>
    </row>
    <row r="1946">
      <c r="A1946" s="1" t="s">
        <v>987</v>
      </c>
      <c r="B1946" s="1">
        <v>40.0</v>
      </c>
      <c r="C1946" s="1">
        <v>0.0</v>
      </c>
      <c r="D1946" s="1">
        <v>0.0</v>
      </c>
      <c r="E1946" s="1">
        <v>0.0</v>
      </c>
      <c r="F1946" s="1">
        <v>0.0</v>
      </c>
    </row>
    <row r="1947">
      <c r="A1947" s="1" t="s">
        <v>2004</v>
      </c>
      <c r="B1947" s="1">
        <v>16.0</v>
      </c>
      <c r="C1947" s="1">
        <v>0.0</v>
      </c>
      <c r="D1947" s="1">
        <v>0.0</v>
      </c>
      <c r="E1947" s="1">
        <v>0.0</v>
      </c>
      <c r="F1947" s="1">
        <v>0.0</v>
      </c>
    </row>
    <row r="1948">
      <c r="A1948" s="1" t="s">
        <v>1618</v>
      </c>
      <c r="B1948" s="1">
        <v>24.0</v>
      </c>
      <c r="C1948" s="1">
        <v>0.0</v>
      </c>
      <c r="D1948" s="1">
        <v>0.0</v>
      </c>
      <c r="E1948" s="1">
        <v>0.0</v>
      </c>
      <c r="F1948" s="1">
        <v>0.0</v>
      </c>
    </row>
    <row r="1949">
      <c r="A1949" s="1" t="s">
        <v>1925</v>
      </c>
      <c r="B1949" s="1">
        <v>25.0</v>
      </c>
      <c r="C1949" s="1">
        <v>0.0</v>
      </c>
      <c r="D1949" s="1">
        <v>0.0</v>
      </c>
      <c r="E1949" s="1">
        <v>0.0</v>
      </c>
      <c r="F1949" s="1">
        <v>0.0</v>
      </c>
    </row>
    <row r="1950">
      <c r="A1950" s="1" t="s">
        <v>1347</v>
      </c>
      <c r="B1950" s="1">
        <v>98.0</v>
      </c>
      <c r="C1950" s="1">
        <v>0.0</v>
      </c>
      <c r="D1950" s="1">
        <v>0.0</v>
      </c>
      <c r="E1950" s="1">
        <v>0.0</v>
      </c>
      <c r="F1950" s="1">
        <v>0.0</v>
      </c>
    </row>
    <row r="1951">
      <c r="A1951" s="1" t="s">
        <v>743</v>
      </c>
      <c r="B1951" s="1">
        <v>121.0</v>
      </c>
      <c r="C1951" s="1">
        <v>0.0</v>
      </c>
      <c r="D1951" s="1">
        <v>0.0</v>
      </c>
      <c r="E1951" s="1">
        <v>0.0</v>
      </c>
      <c r="F1951" s="1">
        <v>0.0</v>
      </c>
    </row>
    <row r="1952">
      <c r="A1952" s="1" t="s">
        <v>1228</v>
      </c>
      <c r="B1952" s="1">
        <v>33.0</v>
      </c>
      <c r="C1952" s="1">
        <v>0.0</v>
      </c>
      <c r="D1952" s="1">
        <v>0.0</v>
      </c>
      <c r="E1952" s="1">
        <v>0.0</v>
      </c>
      <c r="F1952" s="1">
        <v>0.0</v>
      </c>
    </row>
    <row r="1953">
      <c r="A1953" s="1" t="s">
        <v>1529</v>
      </c>
      <c r="B1953" s="1">
        <v>9.0</v>
      </c>
      <c r="C1953" s="1">
        <v>0.0</v>
      </c>
      <c r="D1953" s="1">
        <v>0.0</v>
      </c>
      <c r="E1953" s="1">
        <v>0.0</v>
      </c>
      <c r="F1953" s="1">
        <v>0.0</v>
      </c>
    </row>
    <row r="1954">
      <c r="A1954" s="1" t="s">
        <v>1955</v>
      </c>
      <c r="B1954" s="1">
        <v>45.0</v>
      </c>
      <c r="C1954" s="1">
        <v>0.0</v>
      </c>
      <c r="D1954" s="1">
        <v>0.0</v>
      </c>
      <c r="E1954" s="1">
        <v>0.0</v>
      </c>
      <c r="F1954" s="1">
        <v>0.0</v>
      </c>
    </row>
    <row r="1955">
      <c r="A1955" s="1" t="s">
        <v>881</v>
      </c>
      <c r="B1955" s="1">
        <v>24.0</v>
      </c>
      <c r="C1955" s="1">
        <v>0.0</v>
      </c>
      <c r="D1955" s="1">
        <v>0.0</v>
      </c>
      <c r="E1955" s="1">
        <v>0.0</v>
      </c>
      <c r="F1955" s="1">
        <v>0.0</v>
      </c>
    </row>
    <row r="1956">
      <c r="A1956" s="1" t="s">
        <v>1687</v>
      </c>
      <c r="B1956" s="1">
        <v>41.0</v>
      </c>
      <c r="C1956" s="1">
        <v>0.0</v>
      </c>
      <c r="D1956" s="1">
        <v>0.0</v>
      </c>
      <c r="E1956" s="1">
        <v>0.0</v>
      </c>
      <c r="F1956" s="1">
        <v>0.0</v>
      </c>
    </row>
    <row r="1957">
      <c r="A1957" s="1" t="s">
        <v>536</v>
      </c>
      <c r="B1957" s="1">
        <v>19.0</v>
      </c>
      <c r="C1957" s="1">
        <v>0.0</v>
      </c>
      <c r="D1957" s="1">
        <v>0.0</v>
      </c>
      <c r="E1957" s="1">
        <v>0.0</v>
      </c>
      <c r="F1957" s="1">
        <v>0.0</v>
      </c>
    </row>
    <row r="1958">
      <c r="A1958" s="1" t="s">
        <v>208</v>
      </c>
      <c r="B1958" s="1">
        <v>21.0</v>
      </c>
      <c r="C1958" s="1">
        <v>0.0</v>
      </c>
      <c r="D1958" s="1">
        <v>0.0</v>
      </c>
      <c r="E1958" s="1">
        <v>0.0</v>
      </c>
      <c r="F1958" s="1">
        <v>0.0</v>
      </c>
    </row>
    <row r="1959">
      <c r="A1959" s="1" t="s">
        <v>435</v>
      </c>
      <c r="B1959" s="1">
        <v>50.0</v>
      </c>
      <c r="C1959" s="1">
        <v>0.0</v>
      </c>
      <c r="D1959" s="1">
        <v>0.0</v>
      </c>
      <c r="E1959" s="1">
        <v>0.0</v>
      </c>
      <c r="F1959" s="1">
        <v>0.0</v>
      </c>
    </row>
    <row r="1960">
      <c r="A1960" s="1" t="s">
        <v>2032</v>
      </c>
      <c r="B1960" s="1">
        <v>102.0</v>
      </c>
      <c r="C1960" s="1">
        <v>0.0</v>
      </c>
      <c r="D1960" s="1">
        <v>0.0</v>
      </c>
      <c r="E1960" s="1">
        <v>0.0</v>
      </c>
      <c r="F1960" s="1">
        <v>0.0</v>
      </c>
    </row>
    <row r="1961">
      <c r="A1961" s="1" t="s">
        <v>672</v>
      </c>
      <c r="B1961" s="1">
        <v>38.0</v>
      </c>
      <c r="C1961" s="1">
        <v>0.0</v>
      </c>
      <c r="D1961" s="1">
        <v>0.0</v>
      </c>
      <c r="E1961" s="1">
        <v>0.0</v>
      </c>
      <c r="F1961" s="1">
        <v>0.0</v>
      </c>
    </row>
    <row r="1962">
      <c r="A1962" s="1" t="s">
        <v>1781</v>
      </c>
      <c r="B1962" s="1">
        <v>38.0</v>
      </c>
      <c r="C1962" s="1">
        <v>0.0</v>
      </c>
      <c r="D1962" s="1">
        <v>0.0</v>
      </c>
      <c r="E1962" s="1">
        <v>0.0</v>
      </c>
      <c r="F1962" s="1">
        <v>0.0</v>
      </c>
    </row>
    <row r="1963">
      <c r="A1963" s="1" t="s">
        <v>1282</v>
      </c>
      <c r="B1963" s="1">
        <v>60.0</v>
      </c>
      <c r="C1963" s="1">
        <v>0.0</v>
      </c>
      <c r="D1963" s="1">
        <v>0.0</v>
      </c>
      <c r="E1963" s="1">
        <v>0.0</v>
      </c>
      <c r="F1963" s="1">
        <v>0.0</v>
      </c>
    </row>
    <row r="1964">
      <c r="A1964" s="1" t="s">
        <v>2040</v>
      </c>
      <c r="B1964" s="1">
        <v>12.0</v>
      </c>
      <c r="C1964" s="1">
        <v>0.0</v>
      </c>
      <c r="D1964" s="1">
        <v>0.0</v>
      </c>
      <c r="E1964" s="1">
        <v>0.0</v>
      </c>
      <c r="F1964" s="1">
        <v>0.0</v>
      </c>
    </row>
    <row r="1965">
      <c r="A1965" s="1" t="s">
        <v>1391</v>
      </c>
      <c r="B1965" s="1">
        <v>23.0</v>
      </c>
      <c r="C1965" s="1">
        <v>0.0</v>
      </c>
      <c r="D1965" s="1">
        <v>0.0</v>
      </c>
      <c r="E1965" s="1">
        <v>0.0</v>
      </c>
      <c r="F1965" s="1">
        <v>0.0</v>
      </c>
    </row>
    <row r="1966">
      <c r="A1966" s="1" t="s">
        <v>1549</v>
      </c>
      <c r="B1966" s="1">
        <v>16.0</v>
      </c>
      <c r="C1966" s="1">
        <v>0.0</v>
      </c>
      <c r="D1966" s="1">
        <v>0.0</v>
      </c>
      <c r="E1966" s="1">
        <v>0.0</v>
      </c>
      <c r="F1966" s="1">
        <v>0.0</v>
      </c>
    </row>
    <row r="1967">
      <c r="A1967" s="1" t="s">
        <v>1997</v>
      </c>
      <c r="B1967" s="1">
        <v>17.0</v>
      </c>
      <c r="C1967" s="1">
        <v>0.0</v>
      </c>
      <c r="D1967" s="1">
        <v>0.0</v>
      </c>
      <c r="E1967" s="1">
        <v>0.0</v>
      </c>
      <c r="F1967" s="1">
        <v>0.0</v>
      </c>
    </row>
    <row r="1968">
      <c r="A1968" s="1" t="s">
        <v>2084</v>
      </c>
      <c r="B1968" s="1">
        <v>929.0</v>
      </c>
      <c r="C1968" s="1">
        <v>15.0</v>
      </c>
      <c r="D1968" s="1">
        <v>0.0</v>
      </c>
      <c r="E1968" s="1">
        <v>1.0</v>
      </c>
      <c r="F1968" s="1">
        <v>0.0</v>
      </c>
    </row>
    <row r="1969">
      <c r="A1969" s="1" t="s">
        <v>1123</v>
      </c>
      <c r="B1969" s="1">
        <v>45.0</v>
      </c>
      <c r="C1969" s="1">
        <v>0.0</v>
      </c>
      <c r="D1969" s="1">
        <v>0.0</v>
      </c>
      <c r="E1969" s="1">
        <v>0.0</v>
      </c>
      <c r="F1969" s="1">
        <v>0.0</v>
      </c>
    </row>
    <row r="1970">
      <c r="A1970" s="1" t="s">
        <v>445</v>
      </c>
      <c r="B1970" s="1">
        <v>451.0</v>
      </c>
      <c r="C1970" s="1">
        <v>0.0</v>
      </c>
      <c r="D1970" s="1">
        <v>0.0</v>
      </c>
      <c r="E1970" s="1">
        <v>0.0</v>
      </c>
      <c r="F1970" s="1">
        <v>0.0</v>
      </c>
    </row>
    <row r="1971">
      <c r="A1971" s="1" t="s">
        <v>1018</v>
      </c>
      <c r="B1971" s="1">
        <v>15.0</v>
      </c>
      <c r="C1971" s="1">
        <v>0.0</v>
      </c>
      <c r="D1971" s="1">
        <v>0.0</v>
      </c>
      <c r="E1971" s="1">
        <v>0.0</v>
      </c>
      <c r="F1971" s="1">
        <v>0.0</v>
      </c>
    </row>
    <row r="1972">
      <c r="A1972" s="1" t="s">
        <v>1182</v>
      </c>
      <c r="B1972" s="1">
        <v>33.0</v>
      </c>
      <c r="C1972" s="1">
        <v>0.0</v>
      </c>
      <c r="D1972" s="1">
        <v>0.0</v>
      </c>
      <c r="E1972" s="1">
        <v>0.0</v>
      </c>
      <c r="F1972" s="1">
        <v>0.0</v>
      </c>
    </row>
    <row r="1973">
      <c r="A1973" s="1" t="s">
        <v>1921</v>
      </c>
      <c r="B1973" s="1">
        <v>131.0</v>
      </c>
      <c r="C1973" s="1">
        <v>1.0</v>
      </c>
      <c r="D1973" s="1">
        <v>0.0</v>
      </c>
      <c r="E1973" s="1">
        <v>0.0</v>
      </c>
      <c r="F1973" s="1">
        <v>0.0</v>
      </c>
    </row>
    <row r="1974">
      <c r="A1974" s="1" t="s">
        <v>467</v>
      </c>
      <c r="B1974" s="1">
        <v>26.0</v>
      </c>
      <c r="C1974" s="1">
        <v>0.0</v>
      </c>
      <c r="D1974" s="1">
        <v>0.0</v>
      </c>
      <c r="E1974" s="1">
        <v>0.0</v>
      </c>
      <c r="F1974" s="1">
        <v>0.0</v>
      </c>
    </row>
    <row r="1975">
      <c r="A1975" s="1" t="s">
        <v>388</v>
      </c>
      <c r="B1975" s="1">
        <v>117.0</v>
      </c>
      <c r="C1975" s="1">
        <v>0.0</v>
      </c>
      <c r="D1975" s="1">
        <v>0.0</v>
      </c>
      <c r="E1975" s="1">
        <v>0.0</v>
      </c>
      <c r="F1975" s="1">
        <v>0.0</v>
      </c>
    </row>
    <row r="1976">
      <c r="A1976" s="1" t="s">
        <v>801</v>
      </c>
      <c r="B1976" s="1">
        <v>101.0</v>
      </c>
      <c r="C1976" s="1">
        <v>0.0</v>
      </c>
      <c r="D1976" s="1">
        <v>0.0</v>
      </c>
      <c r="E1976" s="1">
        <v>0.0</v>
      </c>
      <c r="F1976" s="1">
        <v>0.0</v>
      </c>
    </row>
    <row r="1977">
      <c r="A1977" s="1" t="s">
        <v>1102</v>
      </c>
      <c r="B1977" s="1">
        <v>29.0</v>
      </c>
      <c r="C1977" s="1">
        <v>0.0</v>
      </c>
      <c r="D1977" s="1">
        <v>0.0</v>
      </c>
      <c r="E1977" s="1">
        <v>0.0</v>
      </c>
      <c r="F1977" s="1">
        <v>0.0</v>
      </c>
    </row>
    <row r="1978">
      <c r="A1978" s="1" t="s">
        <v>1685</v>
      </c>
      <c r="B1978" s="1">
        <v>135.0</v>
      </c>
      <c r="C1978" s="1">
        <v>0.0</v>
      </c>
      <c r="D1978" s="1">
        <v>0.0</v>
      </c>
      <c r="E1978" s="1">
        <v>0.0</v>
      </c>
      <c r="F1978" s="1">
        <v>0.0</v>
      </c>
    </row>
    <row r="1979">
      <c r="A1979" s="1" t="s">
        <v>1446</v>
      </c>
      <c r="B1979" s="1">
        <v>23.0</v>
      </c>
      <c r="C1979" s="1">
        <v>0.0</v>
      </c>
      <c r="D1979" s="1">
        <v>0.0</v>
      </c>
      <c r="E1979" s="1">
        <v>0.0</v>
      </c>
      <c r="F1979" s="1">
        <v>0.0</v>
      </c>
    </row>
    <row r="1980">
      <c r="A1980" s="1" t="s">
        <v>911</v>
      </c>
      <c r="B1980" s="1">
        <v>34.0</v>
      </c>
      <c r="C1980" s="1">
        <v>0.0</v>
      </c>
      <c r="D1980" s="1">
        <v>0.0</v>
      </c>
      <c r="E1980" s="1">
        <v>0.0</v>
      </c>
      <c r="F1980" s="1">
        <v>0.0</v>
      </c>
    </row>
    <row r="1981">
      <c r="A1981" s="1" t="s">
        <v>678</v>
      </c>
      <c r="B1981" s="1">
        <v>190.0</v>
      </c>
      <c r="C1981" s="1">
        <v>2.0</v>
      </c>
      <c r="D1981" s="1">
        <v>0.0</v>
      </c>
      <c r="E1981" s="1">
        <v>0.0</v>
      </c>
      <c r="F1981" s="1">
        <v>0.0</v>
      </c>
    </row>
    <row r="1982">
      <c r="A1982" s="1" t="s">
        <v>292</v>
      </c>
      <c r="B1982" s="1">
        <v>129.0</v>
      </c>
      <c r="C1982" s="1">
        <v>0.0</v>
      </c>
      <c r="D1982" s="1">
        <v>0.0</v>
      </c>
      <c r="E1982" s="1">
        <v>0.0</v>
      </c>
      <c r="F1982" s="1">
        <v>0.0</v>
      </c>
    </row>
    <row r="1983">
      <c r="A1983" s="1" t="s">
        <v>1073</v>
      </c>
      <c r="B1983" s="1">
        <v>33.0</v>
      </c>
      <c r="C1983" s="1">
        <v>0.0</v>
      </c>
      <c r="D1983" s="1">
        <v>0.0</v>
      </c>
      <c r="E1983" s="1">
        <v>0.0</v>
      </c>
      <c r="F1983" s="1">
        <v>0.0</v>
      </c>
    </row>
    <row r="1984">
      <c r="A1984" s="1" t="s">
        <v>1747</v>
      </c>
      <c r="B1984" s="1">
        <v>45.0</v>
      </c>
      <c r="C1984" s="1">
        <v>0.0</v>
      </c>
      <c r="D1984" s="1">
        <v>0.0</v>
      </c>
      <c r="E1984" s="1">
        <v>0.0</v>
      </c>
      <c r="F1984" s="1">
        <v>0.0</v>
      </c>
    </row>
    <row r="1985">
      <c r="A1985" s="1" t="s">
        <v>822</v>
      </c>
      <c r="B1985" s="1">
        <v>123.0</v>
      </c>
      <c r="C1985" s="1">
        <v>0.0</v>
      </c>
      <c r="D1985" s="1">
        <v>0.0</v>
      </c>
      <c r="E1985" s="1">
        <v>0.0</v>
      </c>
      <c r="F1985" s="1">
        <v>0.0</v>
      </c>
    </row>
    <row r="1986">
      <c r="A1986" s="1" t="s">
        <v>345</v>
      </c>
      <c r="B1986" s="1">
        <v>52.0</v>
      </c>
      <c r="C1986" s="1">
        <v>0.0</v>
      </c>
      <c r="D1986" s="1">
        <v>0.0</v>
      </c>
      <c r="E1986" s="1">
        <v>0.0</v>
      </c>
      <c r="F1986" s="1">
        <v>0.0</v>
      </c>
    </row>
    <row r="1987">
      <c r="A1987" s="1" t="s">
        <v>2054</v>
      </c>
      <c r="B1987" s="1">
        <v>95.0</v>
      </c>
      <c r="C1987" s="1">
        <v>0.0</v>
      </c>
      <c r="D1987" s="1">
        <v>0.0</v>
      </c>
      <c r="E1987" s="1">
        <v>0.0</v>
      </c>
      <c r="F1987" s="1">
        <v>0.0</v>
      </c>
    </row>
    <row r="1988">
      <c r="A1988" s="1" t="s">
        <v>397</v>
      </c>
      <c r="B1988" s="1">
        <v>99.0</v>
      </c>
      <c r="C1988" s="1">
        <v>0.0</v>
      </c>
      <c r="D1988" s="1">
        <v>0.0</v>
      </c>
      <c r="E1988" s="1">
        <v>0.0</v>
      </c>
      <c r="F1988" s="1">
        <v>0.0</v>
      </c>
    </row>
    <row r="1989">
      <c r="A1989" s="1" t="s">
        <v>1152</v>
      </c>
      <c r="B1989" s="1">
        <v>16.0</v>
      </c>
      <c r="C1989" s="1">
        <v>0.0</v>
      </c>
      <c r="D1989" s="1">
        <v>0.0</v>
      </c>
      <c r="E1989" s="1">
        <v>0.0</v>
      </c>
      <c r="F1989" s="1">
        <v>0.0</v>
      </c>
    </row>
    <row r="1990">
      <c r="A1990" s="1" t="s">
        <v>1803</v>
      </c>
      <c r="B1990" s="1">
        <v>88.0</v>
      </c>
      <c r="C1990" s="1">
        <v>0.0</v>
      </c>
      <c r="D1990" s="1">
        <v>0.0</v>
      </c>
      <c r="E1990" s="1">
        <v>0.0</v>
      </c>
      <c r="F1990" s="1">
        <v>0.0</v>
      </c>
    </row>
    <row r="1991">
      <c r="A1991" s="1" t="s">
        <v>1876</v>
      </c>
      <c r="B1991" s="1">
        <v>41.0</v>
      </c>
      <c r="C1991" s="1">
        <v>0.0</v>
      </c>
      <c r="D1991" s="1">
        <v>0.0</v>
      </c>
      <c r="E1991" s="1">
        <v>0.0</v>
      </c>
      <c r="F1991" s="1">
        <v>0.0</v>
      </c>
    </row>
    <row r="1992">
      <c r="A1992" s="1" t="s">
        <v>569</v>
      </c>
      <c r="B1992" s="1">
        <v>48.0</v>
      </c>
      <c r="C1992" s="1">
        <v>0.0</v>
      </c>
      <c r="D1992" s="1">
        <v>0.0</v>
      </c>
      <c r="E1992" s="1">
        <v>0.0</v>
      </c>
      <c r="F1992" s="1">
        <v>0.0</v>
      </c>
    </row>
    <row r="1993">
      <c r="A1993" s="1" t="s">
        <v>226</v>
      </c>
      <c r="B1993" s="1">
        <v>200.0</v>
      </c>
      <c r="C1993" s="1">
        <v>1.0</v>
      </c>
      <c r="D1993" s="1">
        <v>0.0</v>
      </c>
      <c r="E1993" s="1">
        <v>0.0</v>
      </c>
      <c r="F1993" s="1">
        <v>0.0</v>
      </c>
    </row>
    <row r="1994">
      <c r="A1994" s="1" t="s">
        <v>704</v>
      </c>
      <c r="B1994" s="1">
        <v>86.0</v>
      </c>
      <c r="C1994" s="1">
        <v>0.0</v>
      </c>
      <c r="D1994" s="1">
        <v>0.0</v>
      </c>
      <c r="E1994" s="1">
        <v>0.0</v>
      </c>
      <c r="F1994" s="1">
        <v>0.0</v>
      </c>
    </row>
    <row r="1995">
      <c r="A1995" s="1" t="s">
        <v>296</v>
      </c>
      <c r="B1995" s="1">
        <v>57.0</v>
      </c>
      <c r="C1995" s="1">
        <v>0.0</v>
      </c>
      <c r="D1995" s="1">
        <v>0.0</v>
      </c>
      <c r="E1995" s="1">
        <v>0.0</v>
      </c>
      <c r="F1995" s="1">
        <v>0.0</v>
      </c>
    </row>
    <row r="1996">
      <c r="A1996" s="1" t="s">
        <v>1686</v>
      </c>
      <c r="B1996" s="1">
        <v>75.0</v>
      </c>
      <c r="C1996" s="1">
        <v>0.0</v>
      </c>
      <c r="D1996" s="1">
        <v>0.0</v>
      </c>
      <c r="E1996" s="1">
        <v>0.0</v>
      </c>
      <c r="F1996" s="1">
        <v>0.0</v>
      </c>
    </row>
    <row r="1997">
      <c r="A1997" s="1" t="s">
        <v>1516</v>
      </c>
      <c r="B1997" s="1">
        <v>46.0</v>
      </c>
      <c r="C1997" s="1">
        <v>0.0</v>
      </c>
      <c r="D1997" s="1">
        <v>0.0</v>
      </c>
      <c r="E1997" s="1">
        <v>0.0</v>
      </c>
      <c r="F1997" s="1">
        <v>0.0</v>
      </c>
    </row>
    <row r="1998">
      <c r="A1998" s="1" t="s">
        <v>667</v>
      </c>
      <c r="B1998" s="1">
        <v>34.0</v>
      </c>
      <c r="C1998" s="1">
        <v>0.0</v>
      </c>
      <c r="D1998" s="1">
        <v>0.0</v>
      </c>
      <c r="E1998" s="1">
        <v>0.0</v>
      </c>
      <c r="F1998" s="1">
        <v>0.0</v>
      </c>
    </row>
    <row r="1999">
      <c r="A1999" s="1" t="s">
        <v>767</v>
      </c>
      <c r="B1999" s="1">
        <v>33.0</v>
      </c>
      <c r="C1999" s="1">
        <v>0.0</v>
      </c>
      <c r="D1999" s="1">
        <v>0.0</v>
      </c>
      <c r="E1999" s="1">
        <v>0.0</v>
      </c>
      <c r="F1999" s="1">
        <v>0.0</v>
      </c>
    </row>
    <row r="2000">
      <c r="A2000" s="1" t="s">
        <v>566</v>
      </c>
      <c r="B2000" s="1">
        <v>72.0</v>
      </c>
      <c r="C2000" s="1">
        <v>0.0</v>
      </c>
      <c r="D2000" s="1">
        <v>0.0</v>
      </c>
      <c r="E2000" s="1">
        <v>0.0</v>
      </c>
      <c r="F2000" s="1">
        <v>0.0</v>
      </c>
    </row>
    <row r="2001">
      <c r="A2001" s="1" t="s">
        <v>1884</v>
      </c>
      <c r="B2001" s="1">
        <v>71.0</v>
      </c>
      <c r="C2001" s="1">
        <v>0.0</v>
      </c>
      <c r="D2001" s="1">
        <v>0.0</v>
      </c>
      <c r="E2001" s="1">
        <v>0.0</v>
      </c>
      <c r="F2001" s="1">
        <v>0.0</v>
      </c>
    </row>
    <row r="2002">
      <c r="A2002" s="1" t="s">
        <v>440</v>
      </c>
      <c r="B2002" s="1">
        <v>26.0</v>
      </c>
      <c r="C2002" s="1">
        <v>0.0</v>
      </c>
      <c r="D2002" s="1">
        <v>0.0</v>
      </c>
      <c r="E2002" s="1">
        <v>0.0</v>
      </c>
      <c r="F2002" s="1">
        <v>0.0</v>
      </c>
    </row>
    <row r="2003">
      <c r="A2003" s="1" t="s">
        <v>1898</v>
      </c>
      <c r="B2003" s="1">
        <v>10.0</v>
      </c>
      <c r="C2003" s="1">
        <v>0.0</v>
      </c>
      <c r="D2003" s="1">
        <v>0.0</v>
      </c>
      <c r="E2003" s="1">
        <v>0.0</v>
      </c>
      <c r="F2003" s="1">
        <v>0.0</v>
      </c>
    </row>
    <row r="2004">
      <c r="A2004" s="1" t="s">
        <v>1986</v>
      </c>
      <c r="B2004" s="1">
        <v>12.0</v>
      </c>
      <c r="C2004" s="1">
        <v>0.0</v>
      </c>
      <c r="D2004" s="1">
        <v>0.0</v>
      </c>
      <c r="E2004" s="1">
        <v>0.0</v>
      </c>
      <c r="F2004" s="1">
        <v>0.0</v>
      </c>
    </row>
    <row r="2005">
      <c r="A2005" s="1" t="s">
        <v>1374</v>
      </c>
      <c r="B2005" s="1">
        <v>3.0</v>
      </c>
      <c r="C2005" s="1">
        <v>0.0</v>
      </c>
      <c r="D2005" s="1">
        <v>0.0</v>
      </c>
      <c r="E2005" s="1">
        <v>0.0</v>
      </c>
      <c r="F2005" s="1">
        <v>0.0</v>
      </c>
    </row>
    <row r="2006">
      <c r="A2006" s="1" t="s">
        <v>728</v>
      </c>
      <c r="B2006" s="1">
        <v>53.0</v>
      </c>
      <c r="C2006" s="1">
        <v>0.0</v>
      </c>
      <c r="D2006" s="1">
        <v>0.0</v>
      </c>
      <c r="E2006" s="1">
        <v>0.0</v>
      </c>
      <c r="F2006" s="1">
        <v>0.0</v>
      </c>
    </row>
    <row r="2007">
      <c r="A2007" s="1" t="s">
        <v>1635</v>
      </c>
      <c r="B2007" s="1">
        <v>16.0</v>
      </c>
      <c r="C2007" s="1">
        <v>0.0</v>
      </c>
      <c r="D2007" s="1">
        <v>0.0</v>
      </c>
      <c r="E2007" s="1">
        <v>0.0</v>
      </c>
      <c r="F2007" s="1">
        <v>0.0</v>
      </c>
    </row>
    <row r="2008">
      <c r="A2008" s="1" t="s">
        <v>1386</v>
      </c>
      <c r="B2008" s="1">
        <v>86.0</v>
      </c>
      <c r="C2008" s="1">
        <v>0.0</v>
      </c>
      <c r="D2008" s="1">
        <v>0.0</v>
      </c>
      <c r="E2008" s="1">
        <v>0.0</v>
      </c>
      <c r="F2008" s="1">
        <v>0.0</v>
      </c>
    </row>
    <row r="2009">
      <c r="A2009" s="1" t="s">
        <v>375</v>
      </c>
      <c r="B2009" s="1">
        <v>17.0</v>
      </c>
      <c r="C2009" s="1">
        <v>0.0</v>
      </c>
      <c r="D2009" s="1">
        <v>0.0</v>
      </c>
      <c r="E2009" s="1">
        <v>0.0</v>
      </c>
      <c r="F2009" s="1">
        <v>0.0</v>
      </c>
    </row>
    <row r="2010">
      <c r="A2010" s="1" t="s">
        <v>564</v>
      </c>
      <c r="B2010" s="1">
        <v>64.0</v>
      </c>
      <c r="C2010" s="1">
        <v>0.0</v>
      </c>
      <c r="D2010" s="1">
        <v>0.0</v>
      </c>
      <c r="E2010" s="1">
        <v>0.0</v>
      </c>
      <c r="F2010" s="1">
        <v>0.0</v>
      </c>
    </row>
    <row r="2011">
      <c r="A2011" s="1" t="s">
        <v>1799</v>
      </c>
      <c r="B2011" s="1">
        <v>39.0</v>
      </c>
      <c r="C2011" s="1">
        <v>0.0</v>
      </c>
      <c r="D2011" s="1">
        <v>0.0</v>
      </c>
      <c r="E2011" s="1">
        <v>0.0</v>
      </c>
      <c r="F2011" s="1">
        <v>0.0</v>
      </c>
    </row>
    <row r="2012">
      <c r="A2012" s="1" t="s">
        <v>284</v>
      </c>
      <c r="B2012" s="1">
        <v>24.0</v>
      </c>
      <c r="C2012" s="1">
        <v>0.0</v>
      </c>
      <c r="D2012" s="1">
        <v>0.0</v>
      </c>
      <c r="E2012" s="1">
        <v>0.0</v>
      </c>
      <c r="F2012" s="1">
        <v>0.0</v>
      </c>
    </row>
    <row r="2013">
      <c r="A2013" s="1" t="s">
        <v>1748</v>
      </c>
      <c r="B2013" s="1">
        <v>39.0</v>
      </c>
      <c r="C2013" s="1">
        <v>0.0</v>
      </c>
      <c r="D2013" s="1">
        <v>0.0</v>
      </c>
      <c r="E2013" s="1">
        <v>0.0</v>
      </c>
      <c r="F2013" s="1">
        <v>0.0</v>
      </c>
    </row>
    <row r="2014">
      <c r="A2014" s="1" t="s">
        <v>1827</v>
      </c>
      <c r="B2014" s="1">
        <v>21.0</v>
      </c>
      <c r="C2014" s="1">
        <v>0.0</v>
      </c>
      <c r="D2014" s="1">
        <v>0.0</v>
      </c>
      <c r="E2014" s="1">
        <v>0.0</v>
      </c>
      <c r="F2014" s="1">
        <v>0.0</v>
      </c>
    </row>
    <row r="2015">
      <c r="A2015" s="1" t="s">
        <v>1346</v>
      </c>
      <c r="B2015" s="1">
        <v>50.0</v>
      </c>
      <c r="C2015" s="1">
        <v>0.0</v>
      </c>
      <c r="D2015" s="1">
        <v>0.0</v>
      </c>
      <c r="E2015" s="1">
        <v>0.0</v>
      </c>
      <c r="F2015" s="1">
        <v>0.0</v>
      </c>
    </row>
    <row r="2016">
      <c r="A2016" s="1" t="s">
        <v>2056</v>
      </c>
      <c r="B2016" s="1">
        <v>10.0</v>
      </c>
      <c r="C2016" s="1">
        <v>0.0</v>
      </c>
      <c r="D2016" s="1">
        <v>0.0</v>
      </c>
      <c r="E2016" s="1">
        <v>0.0</v>
      </c>
      <c r="F2016" s="1">
        <v>0.0</v>
      </c>
    </row>
    <row r="2017">
      <c r="A2017" s="1" t="s">
        <v>1915</v>
      </c>
      <c r="B2017" s="1">
        <v>468.0</v>
      </c>
      <c r="C2017" s="1">
        <v>7.0</v>
      </c>
      <c r="D2017" s="1">
        <v>0.0</v>
      </c>
      <c r="E2017" s="1">
        <v>2.0</v>
      </c>
      <c r="F2017" s="1">
        <v>0.0</v>
      </c>
    </row>
    <row r="2018">
      <c r="A2018" s="1" t="s">
        <v>690</v>
      </c>
      <c r="B2018" s="1">
        <v>23.0</v>
      </c>
      <c r="C2018" s="1">
        <v>0.0</v>
      </c>
      <c r="D2018" s="1">
        <v>0.0</v>
      </c>
      <c r="E2018" s="1">
        <v>0.0</v>
      </c>
      <c r="F2018" s="1">
        <v>0.0</v>
      </c>
    </row>
    <row r="2019">
      <c r="A2019" s="1" t="s">
        <v>608</v>
      </c>
      <c r="B2019" s="1">
        <v>216.0</v>
      </c>
      <c r="C2019" s="1">
        <v>0.0</v>
      </c>
      <c r="D2019" s="1">
        <v>0.0</v>
      </c>
      <c r="E2019" s="1">
        <v>0.0</v>
      </c>
      <c r="F2019" s="1">
        <v>0.0</v>
      </c>
    </row>
    <row r="2020">
      <c r="A2020" s="1" t="s">
        <v>2103</v>
      </c>
      <c r="B2020" s="1">
        <v>72.0</v>
      </c>
      <c r="C2020" s="1">
        <v>0.0</v>
      </c>
      <c r="D2020" s="1">
        <v>0.0</v>
      </c>
      <c r="E2020" s="1">
        <v>0.0</v>
      </c>
      <c r="F2020" s="1">
        <v>0.0</v>
      </c>
    </row>
    <row r="2021">
      <c r="A2021" s="1" t="s">
        <v>2113</v>
      </c>
      <c r="B2021" s="1">
        <v>2004.0</v>
      </c>
      <c r="C2021" s="1">
        <v>72.0</v>
      </c>
      <c r="D2021" s="1">
        <v>11.0</v>
      </c>
      <c r="E2021" s="1">
        <v>7.0</v>
      </c>
      <c r="F2021" s="1">
        <v>2.0</v>
      </c>
    </row>
    <row r="2022">
      <c r="A2022" s="1" t="s">
        <v>2114</v>
      </c>
      <c r="B2022" s="1">
        <v>402.0</v>
      </c>
      <c r="C2022" s="1">
        <v>2.0</v>
      </c>
      <c r="D2022" s="1">
        <v>0.0</v>
      </c>
      <c r="E2022" s="1">
        <v>0.0</v>
      </c>
      <c r="F2022" s="1">
        <v>0.0</v>
      </c>
    </row>
    <row r="2023">
      <c r="A2023" s="1" t="s">
        <v>2108</v>
      </c>
      <c r="B2023" s="1">
        <v>22.0</v>
      </c>
      <c r="C2023" s="1">
        <v>0.0</v>
      </c>
      <c r="D2023" s="1">
        <v>0.0</v>
      </c>
      <c r="E2023" s="1">
        <v>0.0</v>
      </c>
      <c r="F2023" s="1">
        <v>0.0</v>
      </c>
    </row>
    <row r="2024">
      <c r="A2024" s="1" t="s">
        <v>2095</v>
      </c>
      <c r="B2024" s="1">
        <v>2641.0</v>
      </c>
      <c r="C2024" s="1">
        <v>69.0</v>
      </c>
      <c r="D2024" s="1">
        <v>8.0</v>
      </c>
      <c r="E2024" s="1">
        <v>14.0</v>
      </c>
      <c r="F2024" s="1">
        <v>5.0</v>
      </c>
    </row>
    <row r="2025">
      <c r="A2025" s="1" t="s">
        <v>2098</v>
      </c>
      <c r="B2025" s="1">
        <v>68019.0</v>
      </c>
      <c r="C2025" s="1">
        <v>1379.0</v>
      </c>
      <c r="D2025" s="1">
        <v>1474.0</v>
      </c>
      <c r="E2025" s="1">
        <v>1454.0</v>
      </c>
      <c r="F2025" s="1">
        <v>41.0</v>
      </c>
    </row>
    <row r="2026">
      <c r="A2026" s="1" t="s">
        <v>2096</v>
      </c>
      <c r="B2026" s="1">
        <v>1043.0</v>
      </c>
      <c r="C2026" s="1">
        <v>23.0</v>
      </c>
      <c r="D2026" s="1">
        <v>2.0</v>
      </c>
      <c r="E2026" s="1">
        <v>3.0</v>
      </c>
      <c r="F2026" s="1">
        <v>1.0</v>
      </c>
    </row>
    <row r="2027">
      <c r="A2027" s="1" t="s">
        <v>2119</v>
      </c>
      <c r="B2027" s="1">
        <v>135.0</v>
      </c>
      <c r="C2027" s="1">
        <v>0.0</v>
      </c>
      <c r="D2027" s="1">
        <v>0.0</v>
      </c>
      <c r="E2027" s="1">
        <v>0.0</v>
      </c>
      <c r="F2027" s="1">
        <v>0.0</v>
      </c>
    </row>
    <row r="2028">
      <c r="A2028" s="1" t="s">
        <v>2094</v>
      </c>
      <c r="B2028" s="1">
        <v>116.0</v>
      </c>
      <c r="C2028" s="1">
        <v>0.0</v>
      </c>
      <c r="D2028" s="1">
        <v>0.0</v>
      </c>
      <c r="E2028" s="1">
        <v>0.0</v>
      </c>
      <c r="F2028" s="1">
        <v>0.0</v>
      </c>
    </row>
    <row r="2029">
      <c r="A2029" s="1" t="s">
        <v>2100</v>
      </c>
      <c r="B2029" s="1">
        <v>124.0</v>
      </c>
      <c r="C2029" s="1">
        <v>0.0</v>
      </c>
      <c r="D2029" s="1">
        <v>0.0</v>
      </c>
      <c r="E2029" s="1">
        <v>0.0</v>
      </c>
      <c r="F2029" s="1">
        <v>0.0</v>
      </c>
    </row>
    <row r="2030">
      <c r="A2030" s="1" t="s">
        <v>2107</v>
      </c>
      <c r="B2030" s="1">
        <v>56.0</v>
      </c>
      <c r="C2030" s="1">
        <v>0.0</v>
      </c>
      <c r="D2030" s="1">
        <v>0.0</v>
      </c>
      <c r="E2030" s="1">
        <v>0.0</v>
      </c>
      <c r="F2030" s="1">
        <v>0.0</v>
      </c>
    </row>
    <row r="2031">
      <c r="A2031" s="1" t="s">
        <v>2101</v>
      </c>
      <c r="B2031" s="1">
        <v>139.0</v>
      </c>
      <c r="C2031" s="1">
        <v>0.0</v>
      </c>
      <c r="D2031" s="1">
        <v>0.0</v>
      </c>
      <c r="E2031" s="1">
        <v>0.0</v>
      </c>
      <c r="F2031" s="1">
        <v>0.0</v>
      </c>
    </row>
    <row r="2032">
      <c r="A2032" s="1" t="s">
        <v>2118</v>
      </c>
      <c r="B2032" s="1">
        <v>82.0</v>
      </c>
      <c r="C2032" s="1">
        <v>0.0</v>
      </c>
      <c r="D2032" s="1">
        <v>0.0</v>
      </c>
      <c r="E2032" s="1">
        <v>0.0</v>
      </c>
      <c r="F2032" s="1">
        <v>0.0</v>
      </c>
    </row>
    <row r="2033">
      <c r="A2033" s="1" t="s">
        <v>2117</v>
      </c>
      <c r="B2033" s="1">
        <v>121.0</v>
      </c>
      <c r="C2033" s="1">
        <v>0.0</v>
      </c>
      <c r="D2033" s="1">
        <v>0.0</v>
      </c>
      <c r="E2033" s="1">
        <v>0.0</v>
      </c>
      <c r="F2033" s="1">
        <v>0.0</v>
      </c>
    </row>
    <row r="2034">
      <c r="A2034" s="1" t="s">
        <v>2105</v>
      </c>
      <c r="B2034" s="1">
        <v>1069.0</v>
      </c>
      <c r="C2034" s="1">
        <v>10.0</v>
      </c>
      <c r="D2034" s="1">
        <v>2.0</v>
      </c>
      <c r="E2034" s="1">
        <v>2.0</v>
      </c>
      <c r="F2034" s="1">
        <v>1.0</v>
      </c>
    </row>
    <row r="2035">
      <c r="A2035" s="1" t="s">
        <v>2106</v>
      </c>
      <c r="B2035" s="1">
        <v>1047.0</v>
      </c>
      <c r="C2035" s="1">
        <v>3.0</v>
      </c>
      <c r="D2035" s="1">
        <v>2.0</v>
      </c>
      <c r="E2035" s="1">
        <v>2.0</v>
      </c>
      <c r="F2035" s="1">
        <v>2.0</v>
      </c>
    </row>
    <row r="2036">
      <c r="A2036" s="1" t="s">
        <v>2104</v>
      </c>
      <c r="B2036" s="1">
        <v>668.0</v>
      </c>
      <c r="C2036" s="1">
        <v>18.0</v>
      </c>
      <c r="D2036" s="1">
        <v>0.0</v>
      </c>
      <c r="E2036" s="1">
        <v>2.0</v>
      </c>
      <c r="F2036" s="1">
        <v>0.0</v>
      </c>
    </row>
    <row r="2037">
      <c r="A2037" s="1" t="s">
        <v>2099</v>
      </c>
      <c r="B2037" s="1">
        <v>1544.0</v>
      </c>
      <c r="C2037" s="1">
        <v>29.0</v>
      </c>
      <c r="D2037" s="1">
        <v>7.0</v>
      </c>
      <c r="E2037" s="1">
        <v>3.0</v>
      </c>
      <c r="F2037" s="1">
        <v>1.0</v>
      </c>
    </row>
    <row r="2038">
      <c r="A2038" s="1" t="s">
        <v>2115</v>
      </c>
      <c r="B2038" s="1">
        <v>12535.0</v>
      </c>
      <c r="C2038" s="1">
        <v>3860.0</v>
      </c>
      <c r="D2038" s="1">
        <v>681.0</v>
      </c>
      <c r="E2038" s="1">
        <v>81.0</v>
      </c>
      <c r="F2038" s="1">
        <v>22.0</v>
      </c>
    </row>
    <row r="2039">
      <c r="A2039" s="1" t="s">
        <v>2109</v>
      </c>
      <c r="B2039" s="1">
        <v>1316.0</v>
      </c>
      <c r="C2039" s="1">
        <v>11.0</v>
      </c>
      <c r="D2039" s="1">
        <v>3.0</v>
      </c>
      <c r="E2039" s="1">
        <v>3.0</v>
      </c>
      <c r="F2039" s="1">
        <v>2.0</v>
      </c>
    </row>
    <row r="2040">
      <c r="A2040" s="1" t="s">
        <v>2111</v>
      </c>
      <c r="B2040" s="1">
        <v>12604.0</v>
      </c>
      <c r="C2040" s="1">
        <v>1410.0</v>
      </c>
      <c r="D2040" s="1">
        <v>475.0</v>
      </c>
      <c r="E2040" s="1">
        <v>94.0</v>
      </c>
      <c r="F2040" s="1">
        <v>11.0</v>
      </c>
    </row>
    <row r="2041">
      <c r="A2041" s="1" t="s">
        <v>2097</v>
      </c>
      <c r="B2041" s="1">
        <v>60.0</v>
      </c>
      <c r="C2041" s="1">
        <v>0.0</v>
      </c>
      <c r="D2041" s="1">
        <v>0.0</v>
      </c>
      <c r="E2041" s="1">
        <v>0.0</v>
      </c>
      <c r="F2041" s="1">
        <v>0.0</v>
      </c>
    </row>
    <row r="2042">
      <c r="A2042" s="1" t="s">
        <v>2112</v>
      </c>
      <c r="B2042" s="1">
        <v>1925.0</v>
      </c>
      <c r="C2042" s="1">
        <v>24.0</v>
      </c>
      <c r="D2042" s="1">
        <v>4.0</v>
      </c>
      <c r="E2042" s="1">
        <v>4.0</v>
      </c>
      <c r="F2042" s="1">
        <v>1.0</v>
      </c>
    </row>
    <row r="2043">
      <c r="A2043" s="1" t="s">
        <v>2102</v>
      </c>
      <c r="B2043" s="1">
        <v>7849.0</v>
      </c>
      <c r="C2043" s="1">
        <v>397.0</v>
      </c>
      <c r="D2043" s="1">
        <v>264.0</v>
      </c>
      <c r="E2043" s="1">
        <v>258.0</v>
      </c>
      <c r="F2043" s="1">
        <v>265.0</v>
      </c>
    </row>
    <row r="2044">
      <c r="A2044" s="1" t="s">
        <v>2116</v>
      </c>
      <c r="B2044" s="1">
        <v>382.0</v>
      </c>
      <c r="C2044" s="1">
        <v>7.0</v>
      </c>
      <c r="D2044" s="1">
        <v>0.0</v>
      </c>
      <c r="E2044" s="1">
        <v>1.0</v>
      </c>
      <c r="F2044" s="1">
        <v>0.0</v>
      </c>
    </row>
    <row r="2045">
      <c r="A2045" s="1" t="s">
        <v>2110</v>
      </c>
      <c r="B2045" s="1">
        <v>197.0</v>
      </c>
      <c r="C2045" s="1">
        <v>1.0</v>
      </c>
      <c r="D2045" s="1">
        <v>0.0</v>
      </c>
      <c r="E2045" s="1">
        <v>0.0</v>
      </c>
      <c r="F2045" s="1">
        <v>0.0</v>
      </c>
    </row>
    <row r="2046">
      <c r="A2046" s="1" t="s">
        <v>2125</v>
      </c>
      <c r="B2046" s="1">
        <v>27.0</v>
      </c>
      <c r="C2046" s="1">
        <v>0.0</v>
      </c>
      <c r="D2046" s="1">
        <v>0.0</v>
      </c>
      <c r="E2046" s="1">
        <v>0.0</v>
      </c>
      <c r="F2046" s="1">
        <v>0.0</v>
      </c>
    </row>
    <row r="2047">
      <c r="A2047" s="1" t="s">
        <v>2120</v>
      </c>
      <c r="B2047" s="1">
        <v>39.0</v>
      </c>
      <c r="C2047" s="1">
        <v>0.0</v>
      </c>
      <c r="D2047" s="1">
        <v>0.0</v>
      </c>
      <c r="E2047" s="1">
        <v>0.0</v>
      </c>
      <c r="F2047" s="1">
        <v>0.0</v>
      </c>
    </row>
    <row r="2048">
      <c r="A2048" s="1" t="s">
        <v>2147</v>
      </c>
      <c r="B2048" s="1">
        <v>238.0</v>
      </c>
      <c r="C2048" s="1">
        <v>1.0</v>
      </c>
      <c r="D2048" s="1">
        <v>0.0</v>
      </c>
      <c r="E2048" s="1">
        <v>0.0</v>
      </c>
      <c r="F2048" s="1">
        <v>0.0</v>
      </c>
    </row>
    <row r="2049">
      <c r="A2049" s="1" t="s">
        <v>2124</v>
      </c>
      <c r="B2049" s="1">
        <v>31.0</v>
      </c>
      <c r="C2049" s="1">
        <v>0.0</v>
      </c>
      <c r="D2049" s="1">
        <v>0.0</v>
      </c>
      <c r="E2049" s="1">
        <v>0.0</v>
      </c>
      <c r="F2049" s="1">
        <v>0.0</v>
      </c>
    </row>
    <row r="2050">
      <c r="A2050" s="1" t="s">
        <v>2129</v>
      </c>
      <c r="B2050" s="1">
        <v>28.0</v>
      </c>
      <c r="C2050" s="1">
        <v>0.0</v>
      </c>
      <c r="D2050" s="1">
        <v>0.0</v>
      </c>
      <c r="E2050" s="1">
        <v>0.0</v>
      </c>
      <c r="F2050" s="1">
        <v>0.0</v>
      </c>
    </row>
    <row r="2051">
      <c r="A2051" s="1" t="s">
        <v>2140</v>
      </c>
      <c r="B2051" s="1">
        <v>34.0</v>
      </c>
      <c r="C2051" s="1">
        <v>0.0</v>
      </c>
      <c r="D2051" s="1">
        <v>0.0</v>
      </c>
      <c r="E2051" s="1">
        <v>0.0</v>
      </c>
      <c r="F2051" s="1">
        <v>0.0</v>
      </c>
    </row>
    <row r="2052">
      <c r="A2052" s="1" t="s">
        <v>2144</v>
      </c>
      <c r="B2052" s="1">
        <v>40.0</v>
      </c>
      <c r="C2052" s="1">
        <v>0.0</v>
      </c>
      <c r="D2052" s="1">
        <v>0.0</v>
      </c>
      <c r="E2052" s="1">
        <v>0.0</v>
      </c>
      <c r="F2052" s="1">
        <v>0.0</v>
      </c>
    </row>
    <row r="2053">
      <c r="A2053" s="1" t="s">
        <v>2135</v>
      </c>
      <c r="B2053" s="1">
        <v>1.0</v>
      </c>
      <c r="C2053" s="1">
        <v>0.0</v>
      </c>
      <c r="D2053" s="1">
        <v>0.0</v>
      </c>
      <c r="E2053" s="1">
        <v>0.0</v>
      </c>
      <c r="F2053" s="1">
        <v>0.0</v>
      </c>
    </row>
    <row r="2054">
      <c r="A2054" s="1" t="s">
        <v>2123</v>
      </c>
      <c r="B2054" s="1">
        <v>36.0</v>
      </c>
      <c r="C2054" s="1">
        <v>0.0</v>
      </c>
      <c r="D2054" s="1">
        <v>0.0</v>
      </c>
      <c r="E2054" s="1">
        <v>0.0</v>
      </c>
      <c r="F2054" s="1">
        <v>0.0</v>
      </c>
    </row>
    <row r="2055">
      <c r="A2055" s="1" t="s">
        <v>2138</v>
      </c>
      <c r="B2055" s="1">
        <v>26.0</v>
      </c>
      <c r="C2055" s="1">
        <v>0.0</v>
      </c>
      <c r="D2055" s="1">
        <v>0.0</v>
      </c>
      <c r="E2055" s="1">
        <v>0.0</v>
      </c>
      <c r="F2055" s="1">
        <v>0.0</v>
      </c>
    </row>
    <row r="2056">
      <c r="A2056" s="1" t="s">
        <v>2134</v>
      </c>
      <c r="B2056" s="1">
        <v>140.0</v>
      </c>
      <c r="C2056" s="1">
        <v>0.0</v>
      </c>
      <c r="D2056" s="1">
        <v>0.0</v>
      </c>
      <c r="E2056" s="1">
        <v>0.0</v>
      </c>
      <c r="F2056" s="1">
        <v>0.0</v>
      </c>
    </row>
    <row r="2057">
      <c r="A2057" s="1" t="s">
        <v>2127</v>
      </c>
      <c r="B2057" s="1">
        <v>59.0</v>
      </c>
      <c r="C2057" s="1">
        <v>0.0</v>
      </c>
      <c r="D2057" s="1">
        <v>0.0</v>
      </c>
      <c r="E2057" s="1">
        <v>0.0</v>
      </c>
      <c r="F2057" s="1">
        <v>0.0</v>
      </c>
    </row>
    <row r="2058">
      <c r="A2058" s="1" t="s">
        <v>2130</v>
      </c>
      <c r="B2058" s="1">
        <v>23.0</v>
      </c>
      <c r="C2058" s="1">
        <v>0.0</v>
      </c>
      <c r="D2058" s="1">
        <v>0.0</v>
      </c>
      <c r="E2058" s="1">
        <v>0.0</v>
      </c>
      <c r="F2058" s="1">
        <v>0.0</v>
      </c>
    </row>
    <row r="2059">
      <c r="A2059" s="1" t="s">
        <v>2137</v>
      </c>
      <c r="B2059" s="1">
        <v>23.0</v>
      </c>
      <c r="C2059" s="1">
        <v>0.0</v>
      </c>
      <c r="D2059" s="1">
        <v>0.0</v>
      </c>
      <c r="E2059" s="1">
        <v>0.0</v>
      </c>
      <c r="F2059" s="1">
        <v>0.0</v>
      </c>
    </row>
    <row r="2060">
      <c r="A2060" s="1" t="s">
        <v>2141</v>
      </c>
      <c r="B2060" s="1">
        <v>657.0</v>
      </c>
      <c r="C2060" s="1">
        <v>7.0</v>
      </c>
      <c r="D2060" s="1">
        <v>2.0</v>
      </c>
      <c r="E2060" s="1">
        <v>2.0</v>
      </c>
      <c r="F2060" s="1">
        <v>0.0</v>
      </c>
    </row>
    <row r="2061">
      <c r="A2061" s="1" t="s">
        <v>2146</v>
      </c>
      <c r="B2061" s="1">
        <v>36.0</v>
      </c>
      <c r="C2061" s="1">
        <v>0.0</v>
      </c>
      <c r="D2061" s="1">
        <v>0.0</v>
      </c>
      <c r="E2061" s="1">
        <v>0.0</v>
      </c>
      <c r="F2061" s="1">
        <v>0.0</v>
      </c>
    </row>
    <row r="2062">
      <c r="A2062" s="1" t="s">
        <v>2142</v>
      </c>
      <c r="B2062" s="1">
        <v>23.0</v>
      </c>
      <c r="C2062" s="1">
        <v>0.0</v>
      </c>
      <c r="D2062" s="1">
        <v>0.0</v>
      </c>
      <c r="E2062" s="1">
        <v>0.0</v>
      </c>
      <c r="F2062" s="1">
        <v>0.0</v>
      </c>
    </row>
    <row r="2063">
      <c r="A2063" s="1" t="s">
        <v>2136</v>
      </c>
      <c r="B2063" s="1">
        <v>31.0</v>
      </c>
      <c r="C2063" s="1">
        <v>0.0</v>
      </c>
      <c r="D2063" s="1">
        <v>0.0</v>
      </c>
      <c r="E2063" s="1">
        <v>0.0</v>
      </c>
      <c r="F2063" s="1">
        <v>0.0</v>
      </c>
    </row>
    <row r="2064">
      <c r="A2064" s="1" t="s">
        <v>2148</v>
      </c>
      <c r="B2064" s="1">
        <v>36.0</v>
      </c>
      <c r="C2064" s="1">
        <v>0.0</v>
      </c>
      <c r="D2064" s="1">
        <v>0.0</v>
      </c>
      <c r="E2064" s="1">
        <v>0.0</v>
      </c>
      <c r="F2064" s="1">
        <v>0.0</v>
      </c>
    </row>
    <row r="2065">
      <c r="A2065" s="1" t="s">
        <v>2121</v>
      </c>
      <c r="B2065" s="1">
        <v>661.0</v>
      </c>
      <c r="C2065" s="1">
        <v>8.0</v>
      </c>
      <c r="D2065" s="1">
        <v>2.0</v>
      </c>
      <c r="E2065" s="1">
        <v>3.0</v>
      </c>
      <c r="F2065" s="1">
        <v>0.0</v>
      </c>
    </row>
    <row r="2066">
      <c r="A2066" s="1" t="s">
        <v>2122</v>
      </c>
      <c r="B2066" s="1">
        <v>36.0</v>
      </c>
      <c r="C2066" s="1">
        <v>0.0</v>
      </c>
      <c r="D2066" s="1">
        <v>0.0</v>
      </c>
      <c r="E2066" s="1">
        <v>0.0</v>
      </c>
      <c r="F2066" s="1">
        <v>0.0</v>
      </c>
    </row>
    <row r="2067">
      <c r="A2067" s="1" t="s">
        <v>2131</v>
      </c>
      <c r="B2067" s="1">
        <v>23.0</v>
      </c>
      <c r="C2067" s="1">
        <v>0.0</v>
      </c>
      <c r="D2067" s="1">
        <v>0.0</v>
      </c>
      <c r="E2067" s="1">
        <v>0.0</v>
      </c>
      <c r="F2067" s="1">
        <v>0.0</v>
      </c>
    </row>
    <row r="2068">
      <c r="A2068" s="1" t="s">
        <v>2126</v>
      </c>
      <c r="B2068" s="1">
        <v>148.0</v>
      </c>
      <c r="C2068" s="1">
        <v>1.0</v>
      </c>
      <c r="D2068" s="1">
        <v>0.0</v>
      </c>
      <c r="E2068" s="1">
        <v>0.0</v>
      </c>
      <c r="F2068" s="1">
        <v>0.0</v>
      </c>
    </row>
    <row r="2069">
      <c r="A2069" s="1" t="s">
        <v>2145</v>
      </c>
      <c r="B2069" s="1">
        <v>34.0</v>
      </c>
      <c r="C2069" s="1">
        <v>0.0</v>
      </c>
      <c r="D2069" s="1">
        <v>0.0</v>
      </c>
      <c r="E2069" s="1">
        <v>0.0</v>
      </c>
      <c r="F2069" s="1">
        <v>0.0</v>
      </c>
    </row>
    <row r="2070">
      <c r="A2070" s="1" t="s">
        <v>2128</v>
      </c>
      <c r="B2070" s="1">
        <v>23.0</v>
      </c>
      <c r="C2070" s="1">
        <v>0.0</v>
      </c>
      <c r="D2070" s="1">
        <v>0.0</v>
      </c>
      <c r="E2070" s="1">
        <v>0.0</v>
      </c>
      <c r="F2070" s="1">
        <v>0.0</v>
      </c>
    </row>
    <row r="2071">
      <c r="A2071" s="1" t="s">
        <v>2133</v>
      </c>
      <c r="B2071" s="1">
        <v>918.0</v>
      </c>
      <c r="C2071" s="1">
        <v>14.0</v>
      </c>
      <c r="D2071" s="1">
        <v>6.0</v>
      </c>
      <c r="E2071" s="1">
        <v>2.0</v>
      </c>
      <c r="F2071" s="1">
        <v>0.0</v>
      </c>
    </row>
    <row r="2072">
      <c r="A2072" s="1" t="s">
        <v>2139</v>
      </c>
      <c r="B2072" s="1">
        <v>54.0</v>
      </c>
      <c r="C2072" s="1">
        <v>0.0</v>
      </c>
      <c r="D2072" s="1">
        <v>0.0</v>
      </c>
      <c r="E2072" s="1">
        <v>0.0</v>
      </c>
      <c r="F2072" s="1">
        <v>0.0</v>
      </c>
    </row>
    <row r="2073">
      <c r="A2073" s="1" t="s">
        <v>2143</v>
      </c>
      <c r="B2073" s="1">
        <v>1.0</v>
      </c>
      <c r="C2073" s="1">
        <v>0.0</v>
      </c>
      <c r="D2073" s="1">
        <v>0.0</v>
      </c>
      <c r="E2073" s="1">
        <v>0.0</v>
      </c>
      <c r="F2073" s="1">
        <v>0.0</v>
      </c>
    </row>
    <row r="2074">
      <c r="A2074" s="1" t="s">
        <v>2132</v>
      </c>
      <c r="B2074" s="1">
        <v>39.0</v>
      </c>
      <c r="C2074" s="1">
        <v>0.0</v>
      </c>
      <c r="D2074" s="1">
        <v>0.0</v>
      </c>
      <c r="E2074" s="1">
        <v>0.0</v>
      </c>
      <c r="F2074" s="1">
        <v>0.0</v>
      </c>
    </row>
    <row r="2075">
      <c r="A2075" s="1" t="s">
        <v>2201</v>
      </c>
      <c r="B2075" s="1">
        <v>33.0</v>
      </c>
      <c r="C2075" s="1">
        <v>0.0</v>
      </c>
      <c r="D2075" s="1">
        <v>0.0</v>
      </c>
      <c r="E2075" s="1">
        <v>0.0</v>
      </c>
      <c r="F2075" s="1">
        <v>0.0</v>
      </c>
    </row>
    <row r="2076">
      <c r="A2076" s="1" t="s">
        <v>2196</v>
      </c>
      <c r="B2076" s="1">
        <v>101.0</v>
      </c>
      <c r="C2076" s="1">
        <v>0.0</v>
      </c>
      <c r="D2076" s="1">
        <v>0.0</v>
      </c>
      <c r="E2076" s="1">
        <v>0.0</v>
      </c>
      <c r="F2076" s="1">
        <v>0.0</v>
      </c>
    </row>
    <row r="2077">
      <c r="A2077" s="1" t="s">
        <v>2217</v>
      </c>
      <c r="B2077" s="1">
        <v>570.0</v>
      </c>
      <c r="C2077" s="1">
        <v>1.0</v>
      </c>
      <c r="D2077" s="1">
        <v>0.0</v>
      </c>
      <c r="E2077" s="1">
        <v>0.0</v>
      </c>
      <c r="F2077" s="1">
        <v>0.0</v>
      </c>
    </row>
    <row r="2078">
      <c r="A2078" s="1" t="s">
        <v>2158</v>
      </c>
      <c r="B2078" s="1">
        <v>284.0</v>
      </c>
      <c r="C2078" s="1">
        <v>2.0</v>
      </c>
      <c r="D2078" s="1">
        <v>0.0</v>
      </c>
      <c r="E2078" s="1">
        <v>0.0</v>
      </c>
      <c r="F2078" s="1">
        <v>0.0</v>
      </c>
    </row>
    <row r="2079">
      <c r="A2079" s="1" t="s">
        <v>2224</v>
      </c>
      <c r="B2079" s="1">
        <v>288.0</v>
      </c>
      <c r="C2079" s="1">
        <v>2.0</v>
      </c>
      <c r="D2079" s="1">
        <v>0.0</v>
      </c>
      <c r="E2079" s="1">
        <v>0.0</v>
      </c>
      <c r="F2079" s="1">
        <v>0.0</v>
      </c>
    </row>
    <row r="2080">
      <c r="A2080" s="1" t="s">
        <v>2168</v>
      </c>
      <c r="B2080" s="1">
        <v>620.0</v>
      </c>
      <c r="C2080" s="1">
        <v>0.0</v>
      </c>
      <c r="D2080" s="1">
        <v>0.0</v>
      </c>
      <c r="E2080" s="1">
        <v>0.0</v>
      </c>
      <c r="F2080" s="1">
        <v>0.0</v>
      </c>
    </row>
    <row r="2081">
      <c r="A2081" s="1" t="s">
        <v>2211</v>
      </c>
      <c r="B2081" s="1">
        <v>98.0</v>
      </c>
      <c r="C2081" s="1">
        <v>0.0</v>
      </c>
      <c r="D2081" s="1">
        <v>0.0</v>
      </c>
      <c r="E2081" s="1">
        <v>0.0</v>
      </c>
      <c r="F2081" s="1">
        <v>0.0</v>
      </c>
    </row>
    <row r="2082">
      <c r="A2082" s="1" t="s">
        <v>2171</v>
      </c>
      <c r="B2082" s="1">
        <v>107.0</v>
      </c>
      <c r="C2082" s="1">
        <v>0.0</v>
      </c>
      <c r="D2082" s="1">
        <v>0.0</v>
      </c>
      <c r="E2082" s="1">
        <v>0.0</v>
      </c>
      <c r="F2082" s="1">
        <v>0.0</v>
      </c>
    </row>
    <row r="2083">
      <c r="A2083" s="1" t="s">
        <v>2151</v>
      </c>
      <c r="B2083" s="1">
        <v>1192.0</v>
      </c>
      <c r="C2083" s="1">
        <v>5.0</v>
      </c>
      <c r="D2083" s="1">
        <v>0.0</v>
      </c>
      <c r="E2083" s="1">
        <v>1.0</v>
      </c>
      <c r="F2083" s="1">
        <v>0.0</v>
      </c>
    </row>
    <row r="2084">
      <c r="A2084" s="1" t="s">
        <v>2150</v>
      </c>
      <c r="B2084" s="1">
        <v>574.0</v>
      </c>
      <c r="C2084" s="1">
        <v>1.0</v>
      </c>
      <c r="D2084" s="1">
        <v>0.0</v>
      </c>
      <c r="E2084" s="1">
        <v>0.0</v>
      </c>
      <c r="F2084" s="1">
        <v>0.0</v>
      </c>
    </row>
    <row r="2085">
      <c r="A2085" s="1" t="s">
        <v>2169</v>
      </c>
      <c r="B2085" s="1">
        <v>1084.0</v>
      </c>
      <c r="C2085" s="1">
        <v>5.0</v>
      </c>
      <c r="D2085" s="1">
        <v>1.0</v>
      </c>
      <c r="E2085" s="1">
        <v>1.0</v>
      </c>
      <c r="F2085" s="1">
        <v>1.0</v>
      </c>
    </row>
    <row r="2086">
      <c r="A2086" s="1" t="s">
        <v>2156</v>
      </c>
      <c r="B2086" s="1">
        <v>107.0</v>
      </c>
      <c r="C2086" s="1">
        <v>0.0</v>
      </c>
      <c r="D2086" s="1">
        <v>0.0</v>
      </c>
      <c r="E2086" s="1">
        <v>0.0</v>
      </c>
      <c r="F2086" s="1">
        <v>0.0</v>
      </c>
    </row>
    <row r="2087">
      <c r="A2087" s="1" t="s">
        <v>2230</v>
      </c>
      <c r="B2087" s="1">
        <v>1649.0</v>
      </c>
      <c r="C2087" s="1">
        <v>10.0</v>
      </c>
      <c r="D2087" s="1">
        <v>1.0</v>
      </c>
      <c r="E2087" s="1">
        <v>1.0</v>
      </c>
      <c r="F2087" s="1">
        <v>1.0</v>
      </c>
    </row>
    <row r="2088">
      <c r="A2088" s="1" t="s">
        <v>2225</v>
      </c>
      <c r="B2088" s="1">
        <v>95.0</v>
      </c>
      <c r="C2088" s="1">
        <v>0.0</v>
      </c>
      <c r="D2088" s="1">
        <v>0.0</v>
      </c>
      <c r="E2088" s="1">
        <v>0.0</v>
      </c>
      <c r="F2088" s="1">
        <v>0.0</v>
      </c>
    </row>
    <row r="2089">
      <c r="A2089" s="1" t="s">
        <v>2226</v>
      </c>
      <c r="B2089" s="1">
        <v>109.0</v>
      </c>
      <c r="C2089" s="1">
        <v>0.0</v>
      </c>
      <c r="D2089" s="1">
        <v>0.0</v>
      </c>
      <c r="E2089" s="1">
        <v>0.0</v>
      </c>
      <c r="F2089" s="1">
        <v>0.0</v>
      </c>
    </row>
    <row r="2090">
      <c r="A2090" s="1" t="s">
        <v>2204</v>
      </c>
      <c r="B2090" s="1">
        <v>720.0</v>
      </c>
      <c r="C2090" s="1">
        <v>14.0</v>
      </c>
      <c r="D2090" s="1">
        <v>1.0</v>
      </c>
      <c r="E2090" s="1">
        <v>2.0</v>
      </c>
      <c r="F2090" s="1">
        <v>0.0</v>
      </c>
    </row>
    <row r="2091">
      <c r="A2091" s="1" t="s">
        <v>2160</v>
      </c>
      <c r="B2091" s="1">
        <v>91.0</v>
      </c>
      <c r="C2091" s="1">
        <v>0.0</v>
      </c>
      <c r="D2091" s="1">
        <v>0.0</v>
      </c>
      <c r="E2091" s="1">
        <v>0.0</v>
      </c>
      <c r="F2091" s="1">
        <v>0.0</v>
      </c>
    </row>
    <row r="2092">
      <c r="A2092" s="1" t="s">
        <v>2170</v>
      </c>
      <c r="B2092" s="1">
        <v>873.0</v>
      </c>
      <c r="C2092" s="1">
        <v>1.0</v>
      </c>
      <c r="D2092" s="1">
        <v>0.0</v>
      </c>
      <c r="E2092" s="1">
        <v>0.0</v>
      </c>
      <c r="F2092" s="1">
        <v>1.0</v>
      </c>
    </row>
    <row r="2093">
      <c r="A2093" s="1" t="s">
        <v>2197</v>
      </c>
      <c r="B2093" s="1">
        <v>91.0</v>
      </c>
      <c r="C2093" s="1">
        <v>0.0</v>
      </c>
      <c r="D2093" s="1">
        <v>0.0</v>
      </c>
      <c r="E2093" s="1">
        <v>0.0</v>
      </c>
      <c r="F2093" s="1">
        <v>0.0</v>
      </c>
    </row>
    <row r="2094">
      <c r="A2094" s="1" t="s">
        <v>2181</v>
      </c>
      <c r="B2094" s="1">
        <v>40.0</v>
      </c>
      <c r="C2094" s="1">
        <v>0.0</v>
      </c>
      <c r="D2094" s="1">
        <v>0.0</v>
      </c>
      <c r="E2094" s="1">
        <v>0.0</v>
      </c>
      <c r="F2094" s="1">
        <v>0.0</v>
      </c>
    </row>
    <row r="2095">
      <c r="A2095" s="1" t="s">
        <v>2214</v>
      </c>
      <c r="B2095" s="1">
        <v>105.0</v>
      </c>
      <c r="C2095" s="1">
        <v>0.0</v>
      </c>
      <c r="D2095" s="1">
        <v>0.0</v>
      </c>
      <c r="E2095" s="1">
        <v>0.0</v>
      </c>
      <c r="F2095" s="1">
        <v>0.0</v>
      </c>
    </row>
    <row r="2096">
      <c r="A2096" s="1" t="s">
        <v>2229</v>
      </c>
      <c r="B2096" s="1">
        <v>127.0</v>
      </c>
      <c r="C2096" s="1">
        <v>0.0</v>
      </c>
      <c r="D2096" s="1">
        <v>0.0</v>
      </c>
      <c r="E2096" s="1">
        <v>0.0</v>
      </c>
      <c r="F2096" s="1">
        <v>0.0</v>
      </c>
    </row>
    <row r="2097">
      <c r="A2097" s="1" t="s">
        <v>2205</v>
      </c>
      <c r="B2097" s="1">
        <v>83.0</v>
      </c>
      <c r="C2097" s="1">
        <v>0.0</v>
      </c>
      <c r="D2097" s="1">
        <v>0.0</v>
      </c>
      <c r="E2097" s="1">
        <v>0.0</v>
      </c>
      <c r="F2097" s="1">
        <v>0.0</v>
      </c>
    </row>
    <row r="2098">
      <c r="A2098" s="1" t="s">
        <v>2178</v>
      </c>
      <c r="B2098" s="1">
        <v>107.0</v>
      </c>
      <c r="C2098" s="1">
        <v>0.0</v>
      </c>
      <c r="D2098" s="1">
        <v>0.0</v>
      </c>
      <c r="E2098" s="1">
        <v>0.0</v>
      </c>
      <c r="F2098" s="1">
        <v>0.0</v>
      </c>
    </row>
    <row r="2099">
      <c r="A2099" s="1" t="s">
        <v>2161</v>
      </c>
      <c r="B2099" s="1">
        <v>66.0</v>
      </c>
      <c r="C2099" s="1">
        <v>0.0</v>
      </c>
      <c r="D2099" s="1">
        <v>0.0</v>
      </c>
      <c r="E2099" s="1">
        <v>0.0</v>
      </c>
      <c r="F2099" s="1">
        <v>0.0</v>
      </c>
    </row>
    <row r="2100">
      <c r="A2100" s="1" t="s">
        <v>2190</v>
      </c>
      <c r="B2100" s="1">
        <v>1166.0</v>
      </c>
      <c r="C2100" s="1">
        <v>32.0</v>
      </c>
      <c r="D2100" s="1">
        <v>2.0</v>
      </c>
      <c r="E2100" s="1">
        <v>3.0</v>
      </c>
      <c r="F2100" s="1">
        <v>1.0</v>
      </c>
    </row>
    <row r="2101">
      <c r="A2101" s="1" t="s">
        <v>2219</v>
      </c>
      <c r="B2101" s="1">
        <v>64.0</v>
      </c>
      <c r="C2101" s="1">
        <v>0.0</v>
      </c>
      <c r="D2101" s="1">
        <v>0.0</v>
      </c>
      <c r="E2101" s="1">
        <v>0.0</v>
      </c>
      <c r="F2101" s="1">
        <v>0.0</v>
      </c>
    </row>
    <row r="2102">
      <c r="A2102" s="1" t="s">
        <v>2199</v>
      </c>
      <c r="B2102" s="1">
        <v>4468.0</v>
      </c>
      <c r="C2102" s="1">
        <v>4.0</v>
      </c>
      <c r="D2102" s="1">
        <v>4.0</v>
      </c>
      <c r="E2102" s="1">
        <v>4.0</v>
      </c>
      <c r="F2102" s="1">
        <v>4.0</v>
      </c>
    </row>
    <row r="2103">
      <c r="A2103" s="1" t="s">
        <v>2237</v>
      </c>
      <c r="B2103" s="1">
        <v>71.0</v>
      </c>
      <c r="C2103" s="1">
        <v>0.0</v>
      </c>
      <c r="D2103" s="1">
        <v>0.0</v>
      </c>
      <c r="E2103" s="1">
        <v>0.0</v>
      </c>
      <c r="F2103" s="1">
        <v>0.0</v>
      </c>
    </row>
    <row r="2104">
      <c r="A2104" s="1" t="s">
        <v>2210</v>
      </c>
      <c r="B2104" s="1">
        <v>9587.0</v>
      </c>
      <c r="C2104" s="1">
        <v>57.0</v>
      </c>
      <c r="D2104" s="1">
        <v>12.0</v>
      </c>
      <c r="E2104" s="1">
        <v>13.0</v>
      </c>
      <c r="F2104" s="1">
        <v>13.0</v>
      </c>
    </row>
    <row r="2105">
      <c r="A2105" s="1" t="s">
        <v>2182</v>
      </c>
      <c r="B2105" s="1">
        <v>15991.0</v>
      </c>
      <c r="C2105" s="1">
        <v>686.0</v>
      </c>
      <c r="D2105" s="1">
        <v>10.0</v>
      </c>
      <c r="E2105" s="1">
        <v>11.0</v>
      </c>
      <c r="F2105" s="1">
        <v>11.0</v>
      </c>
    </row>
    <row r="2106">
      <c r="A2106" s="1" t="s">
        <v>2157</v>
      </c>
      <c r="B2106" s="1">
        <v>3203.0</v>
      </c>
      <c r="C2106" s="1">
        <v>26.0</v>
      </c>
      <c r="D2106" s="1">
        <v>2.0</v>
      </c>
      <c r="E2106" s="1">
        <v>3.0</v>
      </c>
      <c r="F2106" s="1">
        <v>2.0</v>
      </c>
    </row>
    <row r="2107">
      <c r="A2107" s="1" t="s">
        <v>2208</v>
      </c>
      <c r="B2107" s="1">
        <v>91.0</v>
      </c>
      <c r="C2107" s="1">
        <v>0.0</v>
      </c>
      <c r="D2107" s="1">
        <v>0.0</v>
      </c>
      <c r="E2107" s="1">
        <v>0.0</v>
      </c>
      <c r="F2107" s="1">
        <v>0.0</v>
      </c>
    </row>
    <row r="2108">
      <c r="A2108" s="1" t="s">
        <v>2200</v>
      </c>
      <c r="B2108" s="1">
        <v>574.0</v>
      </c>
      <c r="C2108" s="1">
        <v>1.0</v>
      </c>
      <c r="D2108" s="1">
        <v>0.0</v>
      </c>
      <c r="E2108" s="1">
        <v>0.0</v>
      </c>
      <c r="F2108" s="1">
        <v>0.0</v>
      </c>
    </row>
    <row r="2109">
      <c r="A2109" s="1" t="s">
        <v>2173</v>
      </c>
      <c r="B2109" s="1">
        <v>288.0</v>
      </c>
      <c r="C2109" s="1">
        <v>2.0</v>
      </c>
      <c r="D2109" s="1">
        <v>0.0</v>
      </c>
      <c r="E2109" s="1">
        <v>0.0</v>
      </c>
      <c r="F2109" s="1">
        <v>0.0</v>
      </c>
    </row>
    <row r="2110">
      <c r="A2110" s="1" t="s">
        <v>2172</v>
      </c>
      <c r="B2110" s="1">
        <v>91.0</v>
      </c>
      <c r="C2110" s="1">
        <v>0.0</v>
      </c>
      <c r="D2110" s="1">
        <v>0.0</v>
      </c>
      <c r="E2110" s="1">
        <v>0.0</v>
      </c>
      <c r="F2110" s="1">
        <v>0.0</v>
      </c>
    </row>
    <row r="2111">
      <c r="A2111" s="1" t="s">
        <v>2177</v>
      </c>
      <c r="B2111" s="1">
        <v>135.0</v>
      </c>
      <c r="C2111" s="1">
        <v>0.0</v>
      </c>
      <c r="D2111" s="1">
        <v>0.0</v>
      </c>
      <c r="E2111" s="1">
        <v>0.0</v>
      </c>
      <c r="F2111" s="1">
        <v>0.0</v>
      </c>
    </row>
    <row r="2112">
      <c r="A2112" s="1" t="s">
        <v>2220</v>
      </c>
      <c r="B2112" s="1">
        <v>68.0</v>
      </c>
      <c r="C2112" s="1">
        <v>0.0</v>
      </c>
      <c r="D2112" s="1">
        <v>0.0</v>
      </c>
      <c r="E2112" s="1">
        <v>0.0</v>
      </c>
      <c r="F2112" s="1">
        <v>0.0</v>
      </c>
    </row>
    <row r="2113">
      <c r="A2113" s="1" t="s">
        <v>2166</v>
      </c>
      <c r="B2113" s="1">
        <v>100.0</v>
      </c>
      <c r="C2113" s="1">
        <v>0.0</v>
      </c>
      <c r="D2113" s="1">
        <v>0.0</v>
      </c>
      <c r="E2113" s="1">
        <v>0.0</v>
      </c>
      <c r="F2113" s="1">
        <v>0.0</v>
      </c>
    </row>
    <row r="2114">
      <c r="A2114" s="1" t="s">
        <v>2222</v>
      </c>
      <c r="B2114" s="1">
        <v>93.0</v>
      </c>
      <c r="C2114" s="1">
        <v>0.0</v>
      </c>
      <c r="D2114" s="1">
        <v>0.0</v>
      </c>
      <c r="E2114" s="1">
        <v>0.0</v>
      </c>
      <c r="F2114" s="1">
        <v>0.0</v>
      </c>
    </row>
    <row r="2115">
      <c r="A2115" s="1" t="s">
        <v>2194</v>
      </c>
      <c r="B2115" s="1">
        <v>34.0</v>
      </c>
      <c r="C2115" s="1">
        <v>0.0</v>
      </c>
      <c r="D2115" s="1">
        <v>0.0</v>
      </c>
      <c r="E2115" s="1">
        <v>0.0</v>
      </c>
      <c r="F2115" s="1">
        <v>0.0</v>
      </c>
    </row>
    <row r="2116">
      <c r="A2116" s="1" t="s">
        <v>2234</v>
      </c>
      <c r="B2116" s="1">
        <v>1859.0</v>
      </c>
      <c r="C2116" s="1">
        <v>29.0</v>
      </c>
      <c r="D2116" s="1">
        <v>5.0</v>
      </c>
      <c r="E2116" s="1">
        <v>5.0</v>
      </c>
      <c r="F2116" s="1">
        <v>2.0</v>
      </c>
    </row>
    <row r="2117">
      <c r="A2117" s="1" t="s">
        <v>2203</v>
      </c>
      <c r="B2117" s="1">
        <v>91.0</v>
      </c>
      <c r="C2117" s="1">
        <v>0.0</v>
      </c>
      <c r="D2117" s="1">
        <v>0.0</v>
      </c>
      <c r="E2117" s="1">
        <v>0.0</v>
      </c>
      <c r="F2117" s="1">
        <v>0.0</v>
      </c>
    </row>
    <row r="2118">
      <c r="A2118" s="1" t="s">
        <v>2164</v>
      </c>
      <c r="B2118" s="1">
        <v>1880.0</v>
      </c>
      <c r="C2118" s="1">
        <v>17.0</v>
      </c>
      <c r="D2118" s="1">
        <v>1.0</v>
      </c>
      <c r="E2118" s="1">
        <v>2.0</v>
      </c>
      <c r="F2118" s="1">
        <v>1.0</v>
      </c>
    </row>
    <row r="2119">
      <c r="A2119" s="1" t="s">
        <v>2152</v>
      </c>
      <c r="B2119" s="1">
        <v>731.0</v>
      </c>
      <c r="C2119" s="1">
        <v>1.0</v>
      </c>
      <c r="D2119" s="1">
        <v>1.0</v>
      </c>
      <c r="E2119" s="1">
        <v>1.0</v>
      </c>
      <c r="F2119" s="1">
        <v>0.0</v>
      </c>
    </row>
    <row r="2120">
      <c r="A2120" s="1" t="s">
        <v>2174</v>
      </c>
      <c r="B2120" s="1">
        <v>85.0</v>
      </c>
      <c r="C2120" s="1">
        <v>0.0</v>
      </c>
      <c r="D2120" s="1">
        <v>0.0</v>
      </c>
      <c r="E2120" s="1">
        <v>0.0</v>
      </c>
      <c r="F2120" s="1">
        <v>0.0</v>
      </c>
    </row>
    <row r="2121">
      <c r="A2121" s="1" t="s">
        <v>2233</v>
      </c>
      <c r="B2121" s="1">
        <v>812.0</v>
      </c>
      <c r="C2121" s="1">
        <v>10.0</v>
      </c>
      <c r="D2121" s="1">
        <v>1.0</v>
      </c>
      <c r="E2121" s="1">
        <v>4.0</v>
      </c>
      <c r="F2121" s="1">
        <v>0.0</v>
      </c>
    </row>
    <row r="2122">
      <c r="A2122" s="1" t="s">
        <v>2189</v>
      </c>
      <c r="B2122" s="1">
        <v>1231.0</v>
      </c>
      <c r="C2122" s="1">
        <v>4.0</v>
      </c>
      <c r="D2122" s="1">
        <v>0.0</v>
      </c>
      <c r="E2122" s="1">
        <v>1.0</v>
      </c>
      <c r="F2122" s="1">
        <v>0.0</v>
      </c>
    </row>
    <row r="2123">
      <c r="A2123" s="1" t="s">
        <v>2236</v>
      </c>
      <c r="B2123" s="1">
        <v>72.0</v>
      </c>
      <c r="C2123" s="1">
        <v>0.0</v>
      </c>
      <c r="D2123" s="1">
        <v>0.0</v>
      </c>
      <c r="E2123" s="1">
        <v>0.0</v>
      </c>
      <c r="F2123" s="1">
        <v>0.0</v>
      </c>
    </row>
    <row r="2124">
      <c r="A2124" s="1" t="s">
        <v>2223</v>
      </c>
      <c r="B2124" s="1">
        <v>95.0</v>
      </c>
      <c r="C2124" s="1">
        <v>0.0</v>
      </c>
      <c r="D2124" s="1">
        <v>0.0</v>
      </c>
      <c r="E2124" s="1">
        <v>0.0</v>
      </c>
      <c r="F2124" s="1">
        <v>0.0</v>
      </c>
    </row>
    <row r="2125">
      <c r="A2125" s="1" t="s">
        <v>2232</v>
      </c>
      <c r="B2125" s="1">
        <v>111.0</v>
      </c>
      <c r="C2125" s="1">
        <v>0.0</v>
      </c>
      <c r="D2125" s="1">
        <v>0.0</v>
      </c>
      <c r="E2125" s="1">
        <v>0.0</v>
      </c>
      <c r="F2125" s="1">
        <v>0.0</v>
      </c>
    </row>
    <row r="2126">
      <c r="A2126" s="1" t="s">
        <v>2186</v>
      </c>
      <c r="B2126" s="1">
        <v>1361.0</v>
      </c>
      <c r="C2126" s="1">
        <v>42.0</v>
      </c>
      <c r="D2126" s="1">
        <v>2.0</v>
      </c>
      <c r="E2126" s="1">
        <v>4.0</v>
      </c>
      <c r="F2126" s="1">
        <v>1.0</v>
      </c>
    </row>
    <row r="2127">
      <c r="A2127" s="1" t="s">
        <v>2176</v>
      </c>
      <c r="B2127" s="1">
        <v>64.0</v>
      </c>
      <c r="C2127" s="1">
        <v>0.0</v>
      </c>
      <c r="D2127" s="1">
        <v>0.0</v>
      </c>
      <c r="E2127" s="1">
        <v>0.0</v>
      </c>
      <c r="F2127" s="1">
        <v>0.0</v>
      </c>
    </row>
    <row r="2128">
      <c r="A2128" s="1" t="s">
        <v>2206</v>
      </c>
      <c r="B2128" s="1">
        <v>1308.0</v>
      </c>
      <c r="C2128" s="1">
        <v>6.0</v>
      </c>
      <c r="D2128" s="1">
        <v>1.0</v>
      </c>
      <c r="E2128" s="1">
        <v>1.0</v>
      </c>
      <c r="F2128" s="1">
        <v>1.0</v>
      </c>
    </row>
    <row r="2129">
      <c r="A2129" s="1" t="s">
        <v>2175</v>
      </c>
      <c r="B2129" s="1">
        <v>2465.0</v>
      </c>
      <c r="C2129" s="1">
        <v>4.0</v>
      </c>
      <c r="D2129" s="1">
        <v>4.0</v>
      </c>
      <c r="E2129" s="1">
        <v>4.0</v>
      </c>
      <c r="F2129" s="1">
        <v>4.0</v>
      </c>
    </row>
    <row r="2130">
      <c r="A2130" s="1" t="s">
        <v>2188</v>
      </c>
      <c r="B2130" s="1">
        <v>79.0</v>
      </c>
      <c r="C2130" s="1">
        <v>0.0</v>
      </c>
      <c r="D2130" s="1">
        <v>0.0</v>
      </c>
      <c r="E2130" s="1">
        <v>0.0</v>
      </c>
      <c r="F2130" s="1">
        <v>0.0</v>
      </c>
    </row>
    <row r="2131">
      <c r="A2131" s="1" t="s">
        <v>2153</v>
      </c>
      <c r="B2131" s="1">
        <v>792.0</v>
      </c>
      <c r="C2131" s="1">
        <v>7.0</v>
      </c>
      <c r="D2131" s="1">
        <v>1.0</v>
      </c>
      <c r="E2131" s="1">
        <v>1.0</v>
      </c>
      <c r="F2131" s="1">
        <v>0.0</v>
      </c>
    </row>
    <row r="2132">
      <c r="A2132" s="1" t="s">
        <v>2154</v>
      </c>
      <c r="B2132" s="1">
        <v>173.0</v>
      </c>
      <c r="C2132" s="1">
        <v>0.0</v>
      </c>
      <c r="D2132" s="1">
        <v>0.0</v>
      </c>
      <c r="E2132" s="1">
        <v>0.0</v>
      </c>
      <c r="F2132" s="1">
        <v>0.0</v>
      </c>
    </row>
    <row r="2133">
      <c r="A2133" s="1" t="s">
        <v>2191</v>
      </c>
      <c r="B2133" s="1">
        <v>86.0</v>
      </c>
      <c r="C2133" s="1">
        <v>0.0</v>
      </c>
      <c r="D2133" s="1">
        <v>0.0</v>
      </c>
      <c r="E2133" s="1">
        <v>0.0</v>
      </c>
      <c r="F2133" s="1">
        <v>0.0</v>
      </c>
    </row>
    <row r="2134">
      <c r="A2134" s="1" t="s">
        <v>2209</v>
      </c>
      <c r="B2134" s="1">
        <v>85.0</v>
      </c>
      <c r="C2134" s="1">
        <v>0.0</v>
      </c>
      <c r="D2134" s="1">
        <v>0.0</v>
      </c>
      <c r="E2134" s="1">
        <v>0.0</v>
      </c>
      <c r="F2134" s="1">
        <v>0.0</v>
      </c>
    </row>
    <row r="2135">
      <c r="A2135" s="1" t="s">
        <v>2184</v>
      </c>
      <c r="B2135" s="1">
        <v>111.0</v>
      </c>
      <c r="C2135" s="1">
        <v>0.0</v>
      </c>
      <c r="D2135" s="1">
        <v>0.0</v>
      </c>
      <c r="E2135" s="1">
        <v>0.0</v>
      </c>
      <c r="F2135" s="1">
        <v>0.0</v>
      </c>
    </row>
    <row r="2136">
      <c r="A2136" s="1" t="s">
        <v>2163</v>
      </c>
      <c r="B2136" s="1">
        <v>63.0</v>
      </c>
      <c r="C2136" s="1">
        <v>0.0</v>
      </c>
      <c r="D2136" s="1">
        <v>0.0</v>
      </c>
      <c r="E2136" s="1">
        <v>0.0</v>
      </c>
      <c r="F2136" s="1">
        <v>0.0</v>
      </c>
    </row>
    <row r="2137">
      <c r="A2137" s="1" t="s">
        <v>2149</v>
      </c>
      <c r="B2137" s="1">
        <v>68.0</v>
      </c>
      <c r="C2137" s="1">
        <v>0.0</v>
      </c>
      <c r="D2137" s="1">
        <v>0.0</v>
      </c>
      <c r="E2137" s="1">
        <v>0.0</v>
      </c>
      <c r="F2137" s="1">
        <v>0.0</v>
      </c>
    </row>
    <row r="2138">
      <c r="A2138" s="1" t="s">
        <v>2179</v>
      </c>
      <c r="B2138" s="1">
        <v>780.0</v>
      </c>
      <c r="C2138" s="1">
        <v>3.0</v>
      </c>
      <c r="D2138" s="1">
        <v>0.0</v>
      </c>
      <c r="E2138" s="1">
        <v>1.0</v>
      </c>
      <c r="F2138" s="1">
        <v>0.0</v>
      </c>
    </row>
    <row r="2139">
      <c r="A2139" s="1" t="s">
        <v>2165</v>
      </c>
      <c r="B2139" s="1">
        <v>73.0</v>
      </c>
      <c r="C2139" s="1">
        <v>0.0</v>
      </c>
      <c r="D2139" s="1">
        <v>0.0</v>
      </c>
      <c r="E2139" s="1">
        <v>0.0</v>
      </c>
      <c r="F2139" s="1">
        <v>0.0</v>
      </c>
    </row>
    <row r="2140">
      <c r="A2140" s="1" t="s">
        <v>2195</v>
      </c>
      <c r="B2140" s="1">
        <v>79.0</v>
      </c>
      <c r="C2140" s="1">
        <v>0.0</v>
      </c>
      <c r="D2140" s="1">
        <v>0.0</v>
      </c>
      <c r="E2140" s="1">
        <v>0.0</v>
      </c>
      <c r="F2140" s="1">
        <v>0.0</v>
      </c>
    </row>
    <row r="2141">
      <c r="A2141" s="1" t="s">
        <v>2198</v>
      </c>
      <c r="B2141" s="1">
        <v>439.0</v>
      </c>
      <c r="C2141" s="1">
        <v>2.0</v>
      </c>
      <c r="D2141" s="1">
        <v>0.0</v>
      </c>
      <c r="E2141" s="1">
        <v>0.0</v>
      </c>
      <c r="F2141" s="1">
        <v>0.0</v>
      </c>
    </row>
    <row r="2142">
      <c r="A2142" s="1" t="s">
        <v>2192</v>
      </c>
      <c r="B2142" s="1">
        <v>104.0</v>
      </c>
      <c r="C2142" s="1">
        <v>0.0</v>
      </c>
      <c r="D2142" s="1">
        <v>0.0</v>
      </c>
      <c r="E2142" s="1">
        <v>0.0</v>
      </c>
      <c r="F2142" s="1">
        <v>0.0</v>
      </c>
    </row>
    <row r="2143">
      <c r="A2143" s="1" t="s">
        <v>2167</v>
      </c>
      <c r="B2143" s="1">
        <v>2384.0</v>
      </c>
      <c r="C2143" s="1">
        <v>30.0</v>
      </c>
      <c r="D2143" s="1">
        <v>2.0</v>
      </c>
      <c r="E2143" s="1">
        <v>2.0</v>
      </c>
      <c r="F2143" s="1">
        <v>1.0</v>
      </c>
    </row>
    <row r="2144">
      <c r="A2144" s="1" t="s">
        <v>2185</v>
      </c>
      <c r="B2144" s="1">
        <v>1453.0</v>
      </c>
      <c r="C2144" s="1">
        <v>8.0</v>
      </c>
      <c r="D2144" s="1">
        <v>1.0</v>
      </c>
      <c r="E2144" s="1">
        <v>2.0</v>
      </c>
      <c r="F2144" s="1">
        <v>1.0</v>
      </c>
    </row>
    <row r="2145">
      <c r="A2145" s="1" t="s">
        <v>2155</v>
      </c>
      <c r="B2145" s="1">
        <v>77.0</v>
      </c>
      <c r="C2145" s="1">
        <v>0.0</v>
      </c>
      <c r="D2145" s="1">
        <v>0.0</v>
      </c>
      <c r="E2145" s="1">
        <v>0.0</v>
      </c>
      <c r="F2145" s="1">
        <v>0.0</v>
      </c>
    </row>
    <row r="2146">
      <c r="A2146" s="1" t="s">
        <v>2235</v>
      </c>
      <c r="B2146" s="1">
        <v>67.0</v>
      </c>
      <c r="C2146" s="1">
        <v>0.0</v>
      </c>
      <c r="D2146" s="1">
        <v>0.0</v>
      </c>
      <c r="E2146" s="1">
        <v>0.0</v>
      </c>
      <c r="F2146" s="1">
        <v>0.0</v>
      </c>
    </row>
    <row r="2147">
      <c r="A2147" s="1" t="s">
        <v>2215</v>
      </c>
      <c r="B2147" s="1">
        <v>79.0</v>
      </c>
      <c r="C2147" s="1">
        <v>0.0</v>
      </c>
      <c r="D2147" s="1">
        <v>0.0</v>
      </c>
      <c r="E2147" s="1">
        <v>0.0</v>
      </c>
      <c r="F2147" s="1">
        <v>0.0</v>
      </c>
    </row>
    <row r="2148">
      <c r="A2148" s="1" t="s">
        <v>2228</v>
      </c>
      <c r="B2148" s="1">
        <v>72.0</v>
      </c>
      <c r="C2148" s="1">
        <v>0.0</v>
      </c>
      <c r="D2148" s="1">
        <v>0.0</v>
      </c>
      <c r="E2148" s="1">
        <v>0.0</v>
      </c>
      <c r="F2148" s="1">
        <v>0.0</v>
      </c>
    </row>
    <row r="2149">
      <c r="A2149" s="1" t="s">
        <v>2183</v>
      </c>
      <c r="B2149" s="1">
        <v>114.0</v>
      </c>
      <c r="C2149" s="1">
        <v>0.0</v>
      </c>
      <c r="D2149" s="1">
        <v>0.0</v>
      </c>
      <c r="E2149" s="1">
        <v>0.0</v>
      </c>
      <c r="F2149" s="1">
        <v>0.0</v>
      </c>
    </row>
    <row r="2150">
      <c r="A2150" s="1" t="s">
        <v>2227</v>
      </c>
      <c r="B2150" s="1">
        <v>67.0</v>
      </c>
      <c r="C2150" s="1">
        <v>0.0</v>
      </c>
      <c r="D2150" s="1">
        <v>0.0</v>
      </c>
      <c r="E2150" s="1">
        <v>0.0</v>
      </c>
      <c r="F2150" s="1">
        <v>0.0</v>
      </c>
    </row>
    <row r="2151">
      <c r="A2151" s="1" t="s">
        <v>2187</v>
      </c>
      <c r="B2151" s="1">
        <v>17092.0</v>
      </c>
      <c r="C2151" s="1">
        <v>582.0</v>
      </c>
      <c r="D2151" s="1">
        <v>9.0</v>
      </c>
      <c r="E2151" s="1">
        <v>10.0</v>
      </c>
      <c r="F2151" s="1">
        <v>9.0</v>
      </c>
    </row>
    <row r="2152">
      <c r="A2152" s="1" t="s">
        <v>2162</v>
      </c>
      <c r="B2152" s="1">
        <v>2180.0</v>
      </c>
      <c r="C2152" s="1">
        <v>5.0</v>
      </c>
      <c r="D2152" s="1">
        <v>2.0</v>
      </c>
      <c r="E2152" s="1">
        <v>3.0</v>
      </c>
      <c r="F2152" s="1">
        <v>2.0</v>
      </c>
    </row>
    <row r="2153">
      <c r="A2153" s="1" t="s">
        <v>2207</v>
      </c>
      <c r="B2153" s="1">
        <v>2490.0</v>
      </c>
      <c r="C2153" s="1">
        <v>20.0</v>
      </c>
      <c r="D2153" s="1">
        <v>2.0</v>
      </c>
      <c r="E2153" s="1">
        <v>3.0</v>
      </c>
      <c r="F2153" s="1">
        <v>2.0</v>
      </c>
    </row>
    <row r="2154">
      <c r="A2154" s="1" t="s">
        <v>2193</v>
      </c>
      <c r="B2154" s="1">
        <v>1197.0</v>
      </c>
      <c r="C2154" s="1">
        <v>2.0</v>
      </c>
      <c r="D2154" s="1">
        <v>2.0</v>
      </c>
      <c r="E2154" s="1">
        <v>2.0</v>
      </c>
      <c r="F2154" s="1">
        <v>2.0</v>
      </c>
    </row>
    <row r="2155">
      <c r="A2155" s="1" t="s">
        <v>2231</v>
      </c>
      <c r="B2155" s="1">
        <v>676.0</v>
      </c>
      <c r="C2155" s="1">
        <v>17.0</v>
      </c>
      <c r="D2155" s="1">
        <v>1.0</v>
      </c>
      <c r="E2155" s="1">
        <v>2.0</v>
      </c>
      <c r="F2155" s="1">
        <v>0.0</v>
      </c>
    </row>
    <row r="2156">
      <c r="A2156" s="1" t="s">
        <v>2159</v>
      </c>
      <c r="B2156" s="1">
        <v>2832.0</v>
      </c>
      <c r="C2156" s="1">
        <v>3.0</v>
      </c>
      <c r="D2156" s="1">
        <v>3.0</v>
      </c>
      <c r="E2156" s="1">
        <v>3.0</v>
      </c>
      <c r="F2156" s="1">
        <v>3.0</v>
      </c>
    </row>
    <row r="2157">
      <c r="A2157" s="1" t="s">
        <v>2216</v>
      </c>
      <c r="B2157" s="1">
        <v>57.0</v>
      </c>
      <c r="C2157" s="1">
        <v>0.0</v>
      </c>
      <c r="D2157" s="1">
        <v>0.0</v>
      </c>
      <c r="E2157" s="1">
        <v>0.0</v>
      </c>
      <c r="F2157" s="1">
        <v>0.0</v>
      </c>
    </row>
    <row r="2158">
      <c r="A2158" s="1" t="s">
        <v>2221</v>
      </c>
      <c r="B2158" s="1">
        <v>110.0</v>
      </c>
      <c r="C2158" s="1">
        <v>0.0</v>
      </c>
      <c r="D2158" s="1">
        <v>0.0</v>
      </c>
      <c r="E2158" s="1">
        <v>0.0</v>
      </c>
      <c r="F2158" s="1">
        <v>0.0</v>
      </c>
    </row>
    <row r="2159">
      <c r="A2159" s="1" t="s">
        <v>2202</v>
      </c>
      <c r="B2159" s="1">
        <v>1637.0</v>
      </c>
      <c r="C2159" s="1">
        <v>5.0</v>
      </c>
      <c r="D2159" s="1">
        <v>2.0</v>
      </c>
      <c r="E2159" s="1">
        <v>3.0</v>
      </c>
      <c r="F2159" s="1">
        <v>2.0</v>
      </c>
    </row>
    <row r="2160">
      <c r="A2160" s="1" t="s">
        <v>2213</v>
      </c>
      <c r="B2160" s="1">
        <v>77.0</v>
      </c>
      <c r="C2160" s="1">
        <v>0.0</v>
      </c>
      <c r="D2160" s="1">
        <v>0.0</v>
      </c>
      <c r="E2160" s="1">
        <v>0.0</v>
      </c>
      <c r="F2160" s="1">
        <v>0.0</v>
      </c>
    </row>
    <row r="2161">
      <c r="A2161" s="1" t="s">
        <v>2212</v>
      </c>
      <c r="B2161" s="1">
        <v>206.0</v>
      </c>
      <c r="C2161" s="1">
        <v>0.0</v>
      </c>
      <c r="D2161" s="1">
        <v>0.0</v>
      </c>
      <c r="E2161" s="1">
        <v>0.0</v>
      </c>
      <c r="F2161" s="1">
        <v>0.0</v>
      </c>
    </row>
    <row r="2162">
      <c r="A2162" s="1" t="s">
        <v>2180</v>
      </c>
      <c r="B2162" s="1">
        <v>384.0</v>
      </c>
      <c r="C2162" s="1">
        <v>1.0</v>
      </c>
      <c r="D2162" s="1">
        <v>0.0</v>
      </c>
      <c r="E2162" s="1">
        <v>0.0</v>
      </c>
      <c r="F2162" s="1">
        <v>0.0</v>
      </c>
    </row>
    <row r="2163">
      <c r="A2163" s="1" t="s">
        <v>2218</v>
      </c>
      <c r="B2163" s="1">
        <v>15918.0</v>
      </c>
      <c r="C2163" s="1">
        <v>666.0</v>
      </c>
      <c r="D2163" s="1">
        <v>540.0</v>
      </c>
      <c r="E2163" s="1">
        <v>608.0</v>
      </c>
      <c r="F2163" s="1">
        <v>551.0</v>
      </c>
    </row>
    <row r="2164">
      <c r="A2164" s="1" t="s">
        <v>2238</v>
      </c>
      <c r="B2164" s="1">
        <v>106.0</v>
      </c>
      <c r="C2164" s="1">
        <v>0.0</v>
      </c>
      <c r="D2164" s="1">
        <v>0.0</v>
      </c>
      <c r="E2164" s="1">
        <v>0.0</v>
      </c>
      <c r="F2164" s="1">
        <v>0.0</v>
      </c>
    </row>
    <row r="2165">
      <c r="A2165" s="1" t="s">
        <v>2248</v>
      </c>
      <c r="B2165" s="1">
        <v>626.0</v>
      </c>
      <c r="C2165" s="1">
        <v>19.0</v>
      </c>
      <c r="D2165" s="1">
        <v>1.0</v>
      </c>
      <c r="E2165" s="1">
        <v>3.0</v>
      </c>
      <c r="F2165" s="1">
        <v>1.0</v>
      </c>
    </row>
    <row r="2166">
      <c r="A2166" s="1" t="s">
        <v>2239</v>
      </c>
      <c r="B2166" s="1">
        <v>114.0</v>
      </c>
      <c r="C2166" s="1">
        <v>0.0</v>
      </c>
      <c r="D2166" s="1">
        <v>0.0</v>
      </c>
      <c r="E2166" s="1">
        <v>0.0</v>
      </c>
      <c r="F2166" s="1">
        <v>0.0</v>
      </c>
    </row>
    <row r="2167">
      <c r="A2167" s="1" t="s">
        <v>2247</v>
      </c>
      <c r="B2167" s="1">
        <v>67.0</v>
      </c>
      <c r="C2167" s="1">
        <v>0.0</v>
      </c>
      <c r="D2167" s="1">
        <v>0.0</v>
      </c>
      <c r="E2167" s="1">
        <v>0.0</v>
      </c>
      <c r="F2167" s="1">
        <v>0.0</v>
      </c>
    </row>
    <row r="2168">
      <c r="A2168" s="1" t="s">
        <v>2244</v>
      </c>
      <c r="B2168" s="1">
        <v>48.0</v>
      </c>
      <c r="C2168" s="1">
        <v>0.0</v>
      </c>
      <c r="D2168" s="1">
        <v>0.0</v>
      </c>
      <c r="E2168" s="1">
        <v>0.0</v>
      </c>
      <c r="F2168" s="1">
        <v>0.0</v>
      </c>
    </row>
    <row r="2169">
      <c r="A2169" s="1" t="s">
        <v>2245</v>
      </c>
      <c r="B2169" s="1">
        <v>111.0</v>
      </c>
      <c r="C2169" s="1">
        <v>0.0</v>
      </c>
      <c r="D2169" s="1">
        <v>0.0</v>
      </c>
      <c r="E2169" s="1">
        <v>0.0</v>
      </c>
      <c r="F2169" s="1">
        <v>0.0</v>
      </c>
    </row>
    <row r="2170">
      <c r="A2170" s="1" t="s">
        <v>2246</v>
      </c>
      <c r="B2170" s="1">
        <v>24136.0</v>
      </c>
      <c r="C2170" s="1">
        <v>11850.0</v>
      </c>
      <c r="D2170" s="1">
        <v>2466.0</v>
      </c>
      <c r="E2170" s="1">
        <v>2796.0</v>
      </c>
      <c r="F2170" s="1">
        <v>30.0</v>
      </c>
    </row>
    <row r="2171">
      <c r="A2171" s="1" t="s">
        <v>2242</v>
      </c>
      <c r="B2171" s="1">
        <v>76.0</v>
      </c>
      <c r="C2171" s="1">
        <v>0.0</v>
      </c>
      <c r="D2171" s="1">
        <v>0.0</v>
      </c>
      <c r="E2171" s="1">
        <v>0.0</v>
      </c>
      <c r="F2171" s="1">
        <v>0.0</v>
      </c>
    </row>
    <row r="2172">
      <c r="A2172" s="1" t="s">
        <v>2241</v>
      </c>
      <c r="B2172" s="1">
        <v>18.0</v>
      </c>
      <c r="C2172" s="1">
        <v>0.0</v>
      </c>
      <c r="D2172" s="1">
        <v>0.0</v>
      </c>
      <c r="E2172" s="1">
        <v>0.0</v>
      </c>
      <c r="F2172" s="1">
        <v>0.0</v>
      </c>
    </row>
    <row r="2173">
      <c r="A2173" s="1" t="s">
        <v>2243</v>
      </c>
      <c r="B2173" s="1">
        <v>669.0</v>
      </c>
      <c r="C2173" s="1">
        <v>11.0</v>
      </c>
      <c r="D2173" s="1">
        <v>4.0</v>
      </c>
      <c r="E2173" s="1">
        <v>2.0</v>
      </c>
      <c r="F2173" s="1">
        <v>0.0</v>
      </c>
    </row>
    <row r="2174">
      <c r="A2174" s="1" t="s">
        <v>2240</v>
      </c>
      <c r="B2174" s="1">
        <v>40.0</v>
      </c>
      <c r="C2174" s="1">
        <v>0.0</v>
      </c>
      <c r="D2174" s="1">
        <v>0.0</v>
      </c>
      <c r="E2174" s="1">
        <v>0.0</v>
      </c>
      <c r="F2174" s="1">
        <v>0.0</v>
      </c>
    </row>
    <row r="2175">
      <c r="A2175" s="1" t="s">
        <v>142</v>
      </c>
      <c r="B2175" s="1">
        <v>162.0</v>
      </c>
      <c r="C2175" s="1">
        <v>2.0</v>
      </c>
      <c r="D2175" s="1">
        <v>0.0</v>
      </c>
      <c r="E2175" s="1">
        <v>0.0</v>
      </c>
      <c r="F2175" s="1">
        <v>0.0</v>
      </c>
    </row>
    <row r="2176">
      <c r="A2176" s="1" t="s">
        <v>143</v>
      </c>
      <c r="B2176" s="1">
        <v>80002.0</v>
      </c>
      <c r="C2176" s="1" t="s">
        <v>28</v>
      </c>
      <c r="D2176" s="1">
        <v>84.0</v>
      </c>
      <c r="E2176" s="1">
        <v>1025.0</v>
      </c>
      <c r="F2176" s="1">
        <v>82.0</v>
      </c>
    </row>
    <row r="2177">
      <c r="A2177" s="1" t="s">
        <v>144</v>
      </c>
      <c r="B2177" s="1">
        <v>42.0</v>
      </c>
      <c r="C2177" s="1">
        <v>0.0</v>
      </c>
      <c r="D2177" s="1">
        <v>0.0</v>
      </c>
      <c r="E2177" s="1">
        <v>0.0</v>
      </c>
      <c r="F2177" s="1">
        <v>0.0</v>
      </c>
    </row>
    <row r="2178">
      <c r="A2178" s="1" t="s">
        <v>148</v>
      </c>
      <c r="B2178" s="1">
        <v>286.0</v>
      </c>
      <c r="C2178" s="1">
        <v>3.0</v>
      </c>
      <c r="D2178" s="1">
        <v>0.0</v>
      </c>
      <c r="E2178" s="1">
        <v>0.0</v>
      </c>
      <c r="F2178" s="1">
        <v>0.0</v>
      </c>
    </row>
    <row r="2179">
      <c r="A2179" s="1" t="s">
        <v>154</v>
      </c>
      <c r="B2179" s="1">
        <v>141.0</v>
      </c>
      <c r="C2179" s="1">
        <v>0.0</v>
      </c>
      <c r="D2179" s="1">
        <v>0.0</v>
      </c>
      <c r="E2179" s="1">
        <v>0.0</v>
      </c>
      <c r="F2179" s="1">
        <v>0.0</v>
      </c>
    </row>
    <row r="2180">
      <c r="A2180" s="1" t="s">
        <v>157</v>
      </c>
      <c r="B2180" s="1">
        <v>481.0</v>
      </c>
      <c r="C2180" s="1">
        <v>7.0</v>
      </c>
      <c r="D2180" s="1">
        <v>0.0</v>
      </c>
      <c r="E2180" s="1">
        <v>1.0</v>
      </c>
      <c r="F2180" s="1">
        <v>0.0</v>
      </c>
    </row>
    <row r="2181">
      <c r="A2181" s="1" t="s">
        <v>149</v>
      </c>
      <c r="B2181" s="1">
        <v>46.0</v>
      </c>
      <c r="C2181" s="1">
        <v>0.0</v>
      </c>
      <c r="D2181" s="1">
        <v>0.0</v>
      </c>
      <c r="E2181" s="1">
        <v>0.0</v>
      </c>
      <c r="F2181" s="1">
        <v>0.0</v>
      </c>
    </row>
    <row r="2182">
      <c r="A2182" s="1" t="s">
        <v>156</v>
      </c>
      <c r="B2182" s="1">
        <v>6.0</v>
      </c>
      <c r="C2182" s="1">
        <v>0.0</v>
      </c>
      <c r="D2182" s="1">
        <v>0.0</v>
      </c>
      <c r="E2182" s="1">
        <v>0.0</v>
      </c>
      <c r="F2182" s="1">
        <v>0.0</v>
      </c>
    </row>
    <row r="2183">
      <c r="A2183" s="1" t="s">
        <v>147</v>
      </c>
      <c r="B2183" s="1">
        <v>17.0</v>
      </c>
      <c r="C2183" s="1">
        <v>0.0</v>
      </c>
      <c r="D2183" s="1">
        <v>0.0</v>
      </c>
      <c r="E2183" s="1">
        <v>0.0</v>
      </c>
      <c r="F2183" s="1">
        <v>0.0</v>
      </c>
    </row>
    <row r="2184">
      <c r="A2184" s="1" t="s">
        <v>146</v>
      </c>
      <c r="B2184" s="1">
        <v>46.0</v>
      </c>
      <c r="C2184" s="1">
        <v>0.0</v>
      </c>
      <c r="D2184" s="1">
        <v>0.0</v>
      </c>
      <c r="E2184" s="1">
        <v>0.0</v>
      </c>
      <c r="F2184" s="1">
        <v>0.0</v>
      </c>
    </row>
    <row r="2185">
      <c r="A2185" s="1" t="s">
        <v>155</v>
      </c>
      <c r="B2185" s="1">
        <v>207.0</v>
      </c>
      <c r="C2185" s="1">
        <v>2.0</v>
      </c>
      <c r="D2185" s="1">
        <v>0.0</v>
      </c>
      <c r="E2185" s="1">
        <v>0.0</v>
      </c>
      <c r="F2185" s="1">
        <v>0.0</v>
      </c>
    </row>
    <row r="2186">
      <c r="A2186" s="1" t="s">
        <v>145</v>
      </c>
      <c r="B2186" s="1">
        <v>10401.0</v>
      </c>
      <c r="C2186" s="1">
        <v>2571.0</v>
      </c>
      <c r="D2186" s="1">
        <v>12.0</v>
      </c>
      <c r="E2186" s="1">
        <v>53.0</v>
      </c>
      <c r="F2186" s="1">
        <v>7.0</v>
      </c>
    </row>
    <row r="2187">
      <c r="A2187" s="1" t="s">
        <v>158</v>
      </c>
      <c r="B2187" s="1">
        <v>2007.0</v>
      </c>
      <c r="C2187" s="1">
        <v>199.0</v>
      </c>
      <c r="D2187" s="1">
        <v>1.0</v>
      </c>
      <c r="E2187" s="1">
        <v>5.0</v>
      </c>
      <c r="F2187" s="1">
        <v>1.0</v>
      </c>
    </row>
    <row r="2188">
      <c r="A2188" s="1" t="s">
        <v>151</v>
      </c>
      <c r="B2188" s="1">
        <v>141.0</v>
      </c>
      <c r="C2188" s="1">
        <v>0.0</v>
      </c>
      <c r="D2188" s="1">
        <v>0.0</v>
      </c>
      <c r="E2188" s="1">
        <v>0.0</v>
      </c>
      <c r="F2188" s="1">
        <v>0.0</v>
      </c>
    </row>
    <row r="2189">
      <c r="A2189" s="1" t="s">
        <v>150</v>
      </c>
      <c r="B2189" s="1">
        <v>22.0</v>
      </c>
      <c r="C2189" s="1">
        <v>0.0</v>
      </c>
      <c r="D2189" s="1">
        <v>0.0</v>
      </c>
      <c r="E2189" s="1">
        <v>0.0</v>
      </c>
      <c r="F2189" s="1">
        <v>0.0</v>
      </c>
    </row>
    <row r="2190">
      <c r="A2190" s="1" t="s">
        <v>153</v>
      </c>
      <c r="B2190" s="1">
        <v>27.0</v>
      </c>
      <c r="C2190" s="1">
        <v>0.0</v>
      </c>
      <c r="D2190" s="1">
        <v>0.0</v>
      </c>
      <c r="E2190" s="1">
        <v>0.0</v>
      </c>
      <c r="F2190" s="1">
        <v>0.0</v>
      </c>
    </row>
    <row r="2191">
      <c r="A2191" s="1" t="s">
        <v>152</v>
      </c>
      <c r="B2191" s="1">
        <v>13.0</v>
      </c>
      <c r="C2191" s="1">
        <v>0.0</v>
      </c>
      <c r="D2191" s="1">
        <v>0.0</v>
      </c>
      <c r="E2191" s="1">
        <v>0.0</v>
      </c>
      <c r="F2191" s="1">
        <v>0.0</v>
      </c>
    </row>
    <row r="2192">
      <c r="A2192" s="1" t="s">
        <v>159</v>
      </c>
      <c r="B2192" s="1">
        <v>7.0</v>
      </c>
      <c r="C2192" s="1">
        <v>0.0</v>
      </c>
      <c r="D2192" s="1">
        <v>0.0</v>
      </c>
      <c r="E2192" s="1">
        <v>0.0</v>
      </c>
      <c r="F2192" s="1">
        <v>0.0</v>
      </c>
    </row>
    <row r="2193">
      <c r="A2193" s="1" t="s">
        <v>160</v>
      </c>
      <c r="B2193" s="1">
        <v>4.0</v>
      </c>
      <c r="C2193" s="1">
        <v>0.0</v>
      </c>
      <c r="D2193" s="1">
        <v>0.0</v>
      </c>
      <c r="E2193" s="1">
        <v>0.0</v>
      </c>
      <c r="F2193" s="1">
        <v>0.0</v>
      </c>
    </row>
    <row r="2194">
      <c r="A2194" s="1" t="s">
        <v>162</v>
      </c>
      <c r="B2194" s="1">
        <v>6.0</v>
      </c>
      <c r="C2194" s="1">
        <v>0.0</v>
      </c>
      <c r="D2194" s="1">
        <v>0.0</v>
      </c>
      <c r="E2194" s="1">
        <v>0.0</v>
      </c>
      <c r="F2194" s="1">
        <v>0.0</v>
      </c>
    </row>
    <row r="2195">
      <c r="A2195" s="1" t="s">
        <v>161</v>
      </c>
      <c r="B2195" s="1">
        <v>3.0</v>
      </c>
      <c r="C2195" s="1">
        <v>0.0</v>
      </c>
      <c r="D2195" s="1">
        <v>0.0</v>
      </c>
      <c r="E2195" s="1">
        <v>0.0</v>
      </c>
      <c r="F2195" s="1">
        <v>0.0</v>
      </c>
    </row>
    <row r="2196">
      <c r="A2196" s="1" t="s">
        <v>163</v>
      </c>
      <c r="B2196" s="1">
        <v>46391.0</v>
      </c>
      <c r="C2196" s="1">
        <v>322.0</v>
      </c>
      <c r="D2196" s="1">
        <v>15.0</v>
      </c>
      <c r="E2196" s="1">
        <v>14.0</v>
      </c>
      <c r="F2196" s="1">
        <v>11.0</v>
      </c>
    </row>
    <row r="2197">
      <c r="A2197" s="1" t="s">
        <v>167</v>
      </c>
      <c r="B2197" s="1">
        <v>46287.0</v>
      </c>
      <c r="C2197" s="1">
        <v>325.0</v>
      </c>
      <c r="D2197" s="1">
        <v>14.0</v>
      </c>
      <c r="E2197" s="1">
        <v>14.0</v>
      </c>
      <c r="F2197" s="1">
        <v>12.0</v>
      </c>
    </row>
    <row r="2198">
      <c r="A2198" s="1" t="s">
        <v>182</v>
      </c>
      <c r="B2198" s="1">
        <v>613.0</v>
      </c>
      <c r="C2198" s="1">
        <v>0.0</v>
      </c>
      <c r="D2198" s="1">
        <v>0.0</v>
      </c>
      <c r="E2198" s="1">
        <v>0.0</v>
      </c>
      <c r="F2198" s="1">
        <v>0.0</v>
      </c>
    </row>
    <row r="2199">
      <c r="A2199" s="1" t="s">
        <v>169</v>
      </c>
      <c r="B2199" s="1">
        <v>1296.0</v>
      </c>
      <c r="C2199" s="1">
        <v>2.0</v>
      </c>
      <c r="D2199" s="1">
        <v>0.0</v>
      </c>
      <c r="E2199" s="1">
        <v>0.0</v>
      </c>
      <c r="F2199" s="1">
        <v>0.0</v>
      </c>
    </row>
    <row r="2200">
      <c r="A2200" s="1" t="s">
        <v>168</v>
      </c>
      <c r="B2200" s="1">
        <v>289104.0</v>
      </c>
      <c r="C2200" s="1">
        <v>20169.0</v>
      </c>
      <c r="D2200" s="1">
        <v>1475.0</v>
      </c>
      <c r="E2200" s="1">
        <v>187.0</v>
      </c>
      <c r="F2200" s="1">
        <v>92.0</v>
      </c>
    </row>
    <row r="2201">
      <c r="A2201" s="1" t="s">
        <v>180</v>
      </c>
      <c r="B2201" s="1">
        <v>4142.0</v>
      </c>
      <c r="C2201" s="1">
        <v>37.0</v>
      </c>
      <c r="D2201" s="1">
        <v>4.0</v>
      </c>
      <c r="E2201" s="1">
        <v>5.0</v>
      </c>
      <c r="F2201" s="1">
        <v>2.0</v>
      </c>
    </row>
    <row r="2202">
      <c r="A2202" s="1" t="s">
        <v>185</v>
      </c>
      <c r="B2202" s="1">
        <v>154.0</v>
      </c>
      <c r="C2202" s="1">
        <v>0.0</v>
      </c>
      <c r="D2202" s="1">
        <v>0.0</v>
      </c>
      <c r="E2202" s="1">
        <v>0.0</v>
      </c>
      <c r="F2202" s="1">
        <v>0.0</v>
      </c>
    </row>
    <row r="2203">
      <c r="A2203" s="1" t="s">
        <v>173</v>
      </c>
      <c r="B2203" s="1">
        <v>301407.0</v>
      </c>
      <c r="C2203" s="1">
        <v>21782.0</v>
      </c>
      <c r="D2203" s="1">
        <v>1948.0</v>
      </c>
      <c r="E2203" s="1">
        <v>207.0</v>
      </c>
      <c r="F2203" s="1">
        <v>95.0</v>
      </c>
    </row>
    <row r="2204">
      <c r="A2204" s="1" t="s">
        <v>172</v>
      </c>
      <c r="B2204" s="1">
        <v>34.0</v>
      </c>
      <c r="C2204" s="1">
        <v>0.0</v>
      </c>
      <c r="D2204" s="1">
        <v>0.0</v>
      </c>
      <c r="E2204" s="1">
        <v>0.0</v>
      </c>
      <c r="F2204" s="1">
        <v>0.0</v>
      </c>
    </row>
    <row r="2205">
      <c r="A2205" s="1" t="s">
        <v>171</v>
      </c>
      <c r="B2205" s="1">
        <v>46341.0</v>
      </c>
      <c r="C2205" s="1">
        <v>339.0</v>
      </c>
      <c r="D2205" s="1">
        <v>15.0</v>
      </c>
      <c r="E2205" s="1">
        <v>14.0</v>
      </c>
      <c r="F2205" s="1">
        <v>11.0</v>
      </c>
    </row>
    <row r="2206">
      <c r="A2206" s="1" t="s">
        <v>176</v>
      </c>
      <c r="B2206" s="1">
        <v>12.0</v>
      </c>
      <c r="C2206" s="1">
        <v>0.0</v>
      </c>
      <c r="D2206" s="1">
        <v>0.0</v>
      </c>
      <c r="E2206" s="1">
        <v>0.0</v>
      </c>
      <c r="F2206" s="1">
        <v>0.0</v>
      </c>
    </row>
    <row r="2207">
      <c r="A2207" s="1" t="s">
        <v>175</v>
      </c>
      <c r="B2207" s="1">
        <v>66277.0</v>
      </c>
      <c r="C2207" s="1">
        <v>2356.0</v>
      </c>
      <c r="D2207" s="1">
        <v>401.0</v>
      </c>
      <c r="E2207" s="1">
        <v>156.0</v>
      </c>
      <c r="F2207" s="1">
        <v>31.0</v>
      </c>
    </row>
    <row r="2208">
      <c r="A2208" s="1" t="s">
        <v>170</v>
      </c>
      <c r="B2208" s="1">
        <v>45154.0</v>
      </c>
      <c r="C2208" s="1">
        <v>322.0</v>
      </c>
      <c r="D2208" s="1">
        <v>13.0</v>
      </c>
      <c r="E2208" s="1">
        <v>13.0</v>
      </c>
      <c r="F2208" s="1">
        <v>11.0</v>
      </c>
    </row>
    <row r="2209">
      <c r="A2209" s="1" t="s">
        <v>165</v>
      </c>
      <c r="B2209" s="1">
        <v>34.0</v>
      </c>
      <c r="C2209" s="1">
        <v>0.0</v>
      </c>
      <c r="D2209" s="1">
        <v>0.0</v>
      </c>
      <c r="E2209" s="1">
        <v>0.0</v>
      </c>
      <c r="F2209" s="1">
        <v>0.0</v>
      </c>
    </row>
    <row r="2210">
      <c r="A2210" s="1" t="s">
        <v>174</v>
      </c>
      <c r="B2210" s="1">
        <v>46314.0</v>
      </c>
      <c r="C2210" s="1">
        <v>337.0</v>
      </c>
      <c r="D2210" s="1">
        <v>15.0</v>
      </c>
      <c r="E2210" s="1">
        <v>14.0</v>
      </c>
      <c r="F2210" s="1">
        <v>11.0</v>
      </c>
    </row>
    <row r="2211">
      <c r="A2211" s="1" t="s">
        <v>177</v>
      </c>
      <c r="B2211" s="1">
        <v>65775.0</v>
      </c>
      <c r="C2211" s="1">
        <v>2364.0</v>
      </c>
      <c r="D2211" s="1">
        <v>397.0</v>
      </c>
      <c r="E2211" s="1">
        <v>151.0</v>
      </c>
      <c r="F2211" s="1">
        <v>31.0</v>
      </c>
    </row>
    <row r="2212">
      <c r="A2212" s="1" t="s">
        <v>179</v>
      </c>
      <c r="B2212" s="1">
        <v>77535.0</v>
      </c>
      <c r="C2212" s="1">
        <v>2525.0</v>
      </c>
      <c r="D2212" s="1">
        <v>593.0</v>
      </c>
      <c r="E2212" s="1">
        <v>186.0</v>
      </c>
      <c r="F2212" s="1">
        <v>36.0</v>
      </c>
    </row>
    <row r="2213">
      <c r="A2213" s="1" t="s">
        <v>166</v>
      </c>
      <c r="B2213" s="1">
        <v>77535.0</v>
      </c>
      <c r="C2213" s="1">
        <v>2558.0</v>
      </c>
      <c r="D2213" s="1">
        <v>601.0</v>
      </c>
      <c r="E2213" s="1">
        <v>182.0</v>
      </c>
      <c r="F2213" s="1">
        <v>36.0</v>
      </c>
    </row>
    <row r="2214">
      <c r="A2214" s="1" t="s">
        <v>178</v>
      </c>
      <c r="B2214" s="1">
        <v>288038.0</v>
      </c>
      <c r="C2214" s="1">
        <v>20788.0</v>
      </c>
      <c r="D2214" s="1">
        <v>1446.0</v>
      </c>
      <c r="E2214" s="1">
        <v>185.0</v>
      </c>
      <c r="F2214" s="1">
        <v>91.0</v>
      </c>
    </row>
    <row r="2215">
      <c r="A2215" s="1" t="s">
        <v>183</v>
      </c>
      <c r="B2215" s="1">
        <v>66277.0</v>
      </c>
      <c r="C2215" s="1">
        <v>2391.0</v>
      </c>
      <c r="D2215" s="1">
        <v>409.0</v>
      </c>
      <c r="E2215" s="1">
        <v>151.0</v>
      </c>
      <c r="F2215" s="1">
        <v>31.0</v>
      </c>
    </row>
    <row r="2216">
      <c r="A2216" s="1" t="s">
        <v>186</v>
      </c>
      <c r="B2216" s="1">
        <v>77535.0</v>
      </c>
      <c r="C2216" s="1">
        <v>3074.0</v>
      </c>
      <c r="D2216" s="1">
        <v>587.0</v>
      </c>
      <c r="E2216" s="1">
        <v>182.0</v>
      </c>
      <c r="F2216" s="1">
        <v>35.0</v>
      </c>
    </row>
    <row r="2217">
      <c r="A2217" s="1" t="s">
        <v>184</v>
      </c>
      <c r="B2217" s="1">
        <v>6865.0</v>
      </c>
      <c r="C2217" s="1">
        <v>50.0</v>
      </c>
      <c r="D2217" s="1">
        <v>9.0</v>
      </c>
      <c r="E2217" s="1">
        <v>11.0</v>
      </c>
      <c r="F2217" s="1">
        <v>3.0</v>
      </c>
    </row>
    <row r="2218">
      <c r="A2218" s="1" t="s">
        <v>187</v>
      </c>
      <c r="B2218" s="1">
        <v>288229.0</v>
      </c>
      <c r="C2218" s="1">
        <v>20327.0</v>
      </c>
      <c r="D2218" s="1">
        <v>1486.0</v>
      </c>
      <c r="E2218" s="1">
        <v>186.0</v>
      </c>
      <c r="F2218" s="1">
        <v>92.0</v>
      </c>
    </row>
    <row r="2219">
      <c r="A2219" s="1" t="s">
        <v>181</v>
      </c>
      <c r="B2219" s="1">
        <v>301353.0</v>
      </c>
      <c r="C2219" s="1">
        <v>21192.0</v>
      </c>
      <c r="D2219" s="1">
        <v>1952.0</v>
      </c>
      <c r="E2219" s="1">
        <v>207.0</v>
      </c>
      <c r="F2219" s="1">
        <v>95.0</v>
      </c>
    </row>
    <row r="2220">
      <c r="A2220" s="1" t="s">
        <v>164</v>
      </c>
      <c r="B2220" s="1">
        <v>46406.0</v>
      </c>
      <c r="C2220" s="1">
        <v>338.0</v>
      </c>
      <c r="D2220" s="1">
        <v>15.0</v>
      </c>
      <c r="E2220" s="1">
        <v>14.0</v>
      </c>
      <c r="F2220" s="1">
        <v>12.0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3025</v>
      </c>
      <c r="H1" s="1" t="s">
        <v>3026</v>
      </c>
      <c r="I1" s="1" t="s">
        <v>3027</v>
      </c>
      <c r="J1" s="1" t="s">
        <v>3028</v>
      </c>
    </row>
    <row r="2">
      <c r="A2" s="1" t="s">
        <v>89</v>
      </c>
      <c r="B2" s="1">
        <v>7.0</v>
      </c>
      <c r="C2" s="1">
        <v>130.0</v>
      </c>
      <c r="D2" s="1">
        <v>94.0</v>
      </c>
      <c r="E2" s="1">
        <v>183.0</v>
      </c>
      <c r="F2" s="1">
        <v>113.0</v>
      </c>
      <c r="G2" s="1">
        <v>9.0</v>
      </c>
      <c r="H2" s="1">
        <v>9.0</v>
      </c>
      <c r="I2" s="1">
        <v>8.0</v>
      </c>
      <c r="J2" s="1">
        <v>9.0</v>
      </c>
    </row>
    <row r="3">
      <c r="A3" s="1" t="s">
        <v>94</v>
      </c>
      <c r="B3" s="1">
        <v>5.0</v>
      </c>
      <c r="C3" s="1">
        <v>65.0</v>
      </c>
      <c r="D3" s="1">
        <v>80.0</v>
      </c>
      <c r="E3" s="1">
        <v>152.0</v>
      </c>
      <c r="F3" s="1">
        <v>115.0</v>
      </c>
      <c r="G3" s="1">
        <v>6.0</v>
      </c>
      <c r="H3" s="1">
        <v>6.0</v>
      </c>
      <c r="I3" s="1">
        <v>5.0</v>
      </c>
      <c r="J3" s="1">
        <v>6.0</v>
      </c>
    </row>
    <row r="4">
      <c r="A4" s="1" t="s">
        <v>98</v>
      </c>
      <c r="B4" s="1">
        <v>12.0</v>
      </c>
      <c r="C4" s="1">
        <v>176.0</v>
      </c>
      <c r="D4" s="1">
        <v>185.0</v>
      </c>
      <c r="E4" s="1">
        <v>410.0</v>
      </c>
      <c r="F4" s="1">
        <v>282.0</v>
      </c>
      <c r="G4" s="1">
        <v>13.0</v>
      </c>
      <c r="H4" s="1">
        <v>13.0</v>
      </c>
      <c r="I4" s="1">
        <v>12.0</v>
      </c>
      <c r="J4" s="1">
        <v>13.0</v>
      </c>
    </row>
    <row r="5">
      <c r="A5" s="1" t="s">
        <v>86</v>
      </c>
      <c r="B5" s="1">
        <v>6.0</v>
      </c>
      <c r="C5" s="1">
        <v>81.0</v>
      </c>
      <c r="D5" s="1">
        <v>101.0</v>
      </c>
      <c r="E5" s="1">
        <v>226.0</v>
      </c>
      <c r="F5" s="1">
        <v>159.0</v>
      </c>
      <c r="G5" s="1">
        <v>6.0</v>
      </c>
      <c r="H5" s="1">
        <v>6.0</v>
      </c>
      <c r="I5" s="1">
        <v>6.0</v>
      </c>
      <c r="J5" s="1">
        <v>6.0</v>
      </c>
    </row>
    <row r="6">
      <c r="A6" s="1" t="s">
        <v>83</v>
      </c>
      <c r="B6" s="1">
        <v>3.0</v>
      </c>
      <c r="C6" s="1">
        <v>41.0</v>
      </c>
      <c r="D6" s="1">
        <v>44.0</v>
      </c>
      <c r="E6" s="1">
        <v>36.0</v>
      </c>
      <c r="F6" s="1">
        <v>44.0</v>
      </c>
      <c r="G6" s="1">
        <v>5.0</v>
      </c>
      <c r="H6" s="1">
        <v>5.0</v>
      </c>
      <c r="I6" s="1">
        <v>4.0</v>
      </c>
      <c r="J6" s="1">
        <v>5.0</v>
      </c>
    </row>
    <row r="7">
      <c r="A7" s="1" t="s">
        <v>79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 t="s">
        <v>81</v>
      </c>
      <c r="B8" s="1">
        <v>4.0</v>
      </c>
      <c r="C8" s="1">
        <v>56.0</v>
      </c>
      <c r="D8" s="1">
        <v>49.0</v>
      </c>
      <c r="E8" s="1">
        <v>93.0</v>
      </c>
      <c r="F8" s="1">
        <v>65.0</v>
      </c>
      <c r="G8" s="1">
        <v>5.0</v>
      </c>
      <c r="H8" s="1">
        <v>5.0</v>
      </c>
      <c r="I8" s="1">
        <v>5.0</v>
      </c>
      <c r="J8" s="1">
        <v>5.0</v>
      </c>
    </row>
    <row r="9">
      <c r="A9" s="1" t="s">
        <v>88</v>
      </c>
      <c r="B9" s="1">
        <v>3.0</v>
      </c>
      <c r="C9" s="1">
        <v>34.0</v>
      </c>
      <c r="D9" s="1">
        <v>33.0</v>
      </c>
      <c r="E9" s="1">
        <v>52.0</v>
      </c>
      <c r="F9" s="1">
        <v>44.0</v>
      </c>
      <c r="G9" s="1">
        <v>4.0</v>
      </c>
      <c r="H9" s="1">
        <v>4.0</v>
      </c>
      <c r="I9" s="1">
        <v>3.0</v>
      </c>
      <c r="J9" s="1">
        <v>4.0</v>
      </c>
    </row>
    <row r="10">
      <c r="A10" s="1" t="s">
        <v>92</v>
      </c>
      <c r="B10" s="1">
        <v>7.0</v>
      </c>
      <c r="C10" s="1">
        <v>87.0</v>
      </c>
      <c r="D10" s="1">
        <v>121.0</v>
      </c>
      <c r="E10" s="1">
        <v>307.0</v>
      </c>
      <c r="F10" s="1">
        <v>186.0</v>
      </c>
      <c r="G10" s="1">
        <v>7.0</v>
      </c>
      <c r="H10" s="1">
        <v>7.0</v>
      </c>
      <c r="I10" s="1">
        <v>7.0</v>
      </c>
      <c r="J10" s="1">
        <v>7.0</v>
      </c>
    </row>
    <row r="11">
      <c r="A11" s="1" t="s">
        <v>97</v>
      </c>
      <c r="B11" s="1">
        <v>7.0</v>
      </c>
      <c r="C11" s="1">
        <v>92.0</v>
      </c>
      <c r="D11" s="1">
        <v>115.0</v>
      </c>
      <c r="E11" s="1">
        <v>258.0</v>
      </c>
      <c r="F11" s="1">
        <v>185.0</v>
      </c>
      <c r="G11" s="1">
        <v>7.0</v>
      </c>
      <c r="H11" s="1">
        <v>7.0</v>
      </c>
      <c r="I11" s="1">
        <v>7.0</v>
      </c>
      <c r="J11" s="1">
        <v>7.0</v>
      </c>
    </row>
    <row r="12">
      <c r="A12" s="1" t="s">
        <v>85</v>
      </c>
      <c r="B12" s="1">
        <v>29.0</v>
      </c>
      <c r="C12" s="1">
        <v>1151.0</v>
      </c>
      <c r="D12" s="1">
        <v>507.0</v>
      </c>
      <c r="E12" s="1">
        <v>953.0</v>
      </c>
      <c r="F12" s="1">
        <v>707.0</v>
      </c>
      <c r="G12" s="1">
        <v>29.0</v>
      </c>
      <c r="H12" s="1">
        <v>29.0</v>
      </c>
      <c r="I12" s="1">
        <v>29.0</v>
      </c>
      <c r="J12" s="1">
        <v>29.0</v>
      </c>
    </row>
    <row r="13">
      <c r="A13" s="1" t="s">
        <v>13</v>
      </c>
      <c r="B13" s="1">
        <v>7.0</v>
      </c>
      <c r="C13" s="1">
        <v>114.0</v>
      </c>
      <c r="D13" s="1">
        <v>119.0</v>
      </c>
      <c r="E13" s="1">
        <v>203.0</v>
      </c>
      <c r="F13" s="1">
        <v>191.0</v>
      </c>
      <c r="G13" s="1">
        <v>7.0</v>
      </c>
      <c r="H13" s="1">
        <v>7.0</v>
      </c>
      <c r="I13" s="1">
        <v>7.0</v>
      </c>
      <c r="J13" s="1">
        <v>7.0</v>
      </c>
    </row>
    <row r="14">
      <c r="A14" s="1" t="s">
        <v>37</v>
      </c>
      <c r="B14" s="1">
        <v>21.0</v>
      </c>
      <c r="C14" s="1">
        <v>562.0</v>
      </c>
      <c r="D14" s="1">
        <v>357.0</v>
      </c>
      <c r="E14" s="1">
        <v>711.0</v>
      </c>
      <c r="F14" s="1">
        <v>604.0</v>
      </c>
      <c r="G14" s="1">
        <v>21.0</v>
      </c>
      <c r="H14" s="1">
        <v>21.0</v>
      </c>
      <c r="I14" s="1">
        <v>21.0</v>
      </c>
      <c r="J14" s="1">
        <v>21.0</v>
      </c>
    </row>
    <row r="15">
      <c r="A15" s="1" t="s">
        <v>2993</v>
      </c>
      <c r="B15" s="1">
        <v>41.0</v>
      </c>
      <c r="C15" s="1">
        <v>1712.0</v>
      </c>
      <c r="D15" s="1">
        <v>697.0</v>
      </c>
      <c r="E15" s="1">
        <v>1505.0</v>
      </c>
      <c r="F15" s="1">
        <v>1194.0</v>
      </c>
      <c r="G15" s="1">
        <v>41.0</v>
      </c>
      <c r="H15" s="1">
        <v>41.0</v>
      </c>
      <c r="I15" s="1">
        <v>41.0</v>
      </c>
      <c r="J15" s="1">
        <v>41.0</v>
      </c>
    </row>
    <row r="16">
      <c r="A16" s="1" t="s">
        <v>14</v>
      </c>
      <c r="B16" s="1">
        <v>201.0</v>
      </c>
      <c r="C16" s="1">
        <v>32512.0</v>
      </c>
      <c r="D16" s="1">
        <v>3417.0</v>
      </c>
      <c r="E16" s="1">
        <v>9007.0</v>
      </c>
      <c r="F16" s="1">
        <v>5914.0</v>
      </c>
      <c r="G16" s="1">
        <v>201.0</v>
      </c>
      <c r="H16" s="1">
        <v>201.0</v>
      </c>
      <c r="I16" s="1">
        <v>201.0</v>
      </c>
      <c r="J16" s="1">
        <v>201.0</v>
      </c>
    </row>
    <row r="17">
      <c r="A17" s="1" t="s">
        <v>55</v>
      </c>
      <c r="B17" s="1">
        <v>2001.0</v>
      </c>
      <c r="C17" s="1">
        <v>3025012.0</v>
      </c>
      <c r="D17" s="1">
        <v>34017.0</v>
      </c>
      <c r="E17" s="1">
        <v>148029.0</v>
      </c>
      <c r="F17" s="1">
        <v>59014.0</v>
      </c>
      <c r="G17" s="1">
        <v>2001.0</v>
      </c>
      <c r="H17" s="1">
        <v>2001.0</v>
      </c>
      <c r="I17" s="1">
        <v>2001.0</v>
      </c>
      <c r="J17" s="1">
        <v>2001.0</v>
      </c>
    </row>
    <row r="18">
      <c r="A18" s="1" t="s">
        <v>47</v>
      </c>
      <c r="B18" s="1">
        <v>20001.0</v>
      </c>
      <c r="C18" s="1" t="s">
        <v>28</v>
      </c>
      <c r="D18" s="1">
        <v>340017.0</v>
      </c>
      <c r="E18" s="1">
        <v>3307130.0</v>
      </c>
      <c r="F18" s="1">
        <v>590014.0</v>
      </c>
      <c r="G18" s="1" t="s">
        <v>28</v>
      </c>
      <c r="H18" s="1">
        <v>20001.0</v>
      </c>
      <c r="I18" s="1">
        <v>20001.0</v>
      </c>
      <c r="J18" s="1">
        <v>20001.0</v>
      </c>
    </row>
    <row r="19">
      <c r="A19" s="1" t="s">
        <v>2994</v>
      </c>
      <c r="B19" s="1">
        <v>6.0</v>
      </c>
      <c r="C19" s="1">
        <v>91.0</v>
      </c>
      <c r="D19" s="1">
        <v>74.0</v>
      </c>
      <c r="E19" s="1">
        <v>163.0</v>
      </c>
      <c r="F19" s="1">
        <v>96.0</v>
      </c>
      <c r="G19" s="1">
        <v>7.0</v>
      </c>
      <c r="H19" s="1">
        <v>7.0</v>
      </c>
      <c r="I19" s="1">
        <v>7.0</v>
      </c>
      <c r="J19" s="1">
        <v>7.0</v>
      </c>
    </row>
    <row r="20">
      <c r="A20" s="1" t="s">
        <v>2995</v>
      </c>
      <c r="B20" s="1">
        <v>20.0</v>
      </c>
      <c r="C20" s="1">
        <v>504.0</v>
      </c>
      <c r="D20" s="1">
        <v>242.0</v>
      </c>
      <c r="E20" s="1">
        <v>601.0</v>
      </c>
      <c r="F20" s="1">
        <v>313.0</v>
      </c>
      <c r="G20" s="1">
        <v>21.0</v>
      </c>
      <c r="H20" s="1">
        <v>21.0</v>
      </c>
      <c r="I20" s="1">
        <v>21.0</v>
      </c>
      <c r="J20" s="1">
        <v>21.0</v>
      </c>
    </row>
    <row r="21">
      <c r="A21" s="1" t="s">
        <v>2996</v>
      </c>
      <c r="B21" s="1">
        <v>40.0</v>
      </c>
      <c r="C21" s="1">
        <v>1604.0</v>
      </c>
      <c r="D21" s="1">
        <v>482.0</v>
      </c>
      <c r="E21" s="1">
        <v>1295.0</v>
      </c>
      <c r="F21" s="1">
        <v>623.0</v>
      </c>
      <c r="G21" s="1">
        <v>41.0</v>
      </c>
      <c r="H21" s="1">
        <v>41.0</v>
      </c>
      <c r="I21" s="1">
        <v>41.0</v>
      </c>
      <c r="J21" s="1">
        <v>41.0</v>
      </c>
    </row>
    <row r="22">
      <c r="A22" s="1" t="s">
        <v>2997</v>
      </c>
      <c r="B22" s="1">
        <v>200.0</v>
      </c>
      <c r="C22" s="1">
        <v>32004.0</v>
      </c>
      <c r="D22" s="1">
        <v>2402.0</v>
      </c>
      <c r="E22" s="1">
        <v>7997.0</v>
      </c>
      <c r="F22" s="1">
        <v>3103.0</v>
      </c>
      <c r="G22" s="1">
        <v>201.0</v>
      </c>
      <c r="H22" s="1">
        <v>201.0</v>
      </c>
      <c r="I22" s="1">
        <v>201.0</v>
      </c>
      <c r="J22" s="1">
        <v>201.0</v>
      </c>
    </row>
    <row r="23">
      <c r="A23" s="1" t="s">
        <v>2998</v>
      </c>
      <c r="B23" s="1">
        <v>2000.0</v>
      </c>
      <c r="C23" s="1">
        <v>3020004.0</v>
      </c>
      <c r="D23" s="1">
        <v>24002.0</v>
      </c>
      <c r="E23" s="1">
        <v>138019.0</v>
      </c>
      <c r="F23" s="1">
        <v>31003.0</v>
      </c>
      <c r="G23" s="1">
        <v>2001.0</v>
      </c>
      <c r="H23" s="1">
        <v>2001.0</v>
      </c>
      <c r="I23" s="1">
        <v>2001.0</v>
      </c>
      <c r="J23" s="1">
        <v>2001.0</v>
      </c>
    </row>
    <row r="24">
      <c r="A24" s="1" t="s">
        <v>2999</v>
      </c>
      <c r="B24" s="1">
        <v>20000.0</v>
      </c>
      <c r="C24" s="1" t="s">
        <v>28</v>
      </c>
      <c r="D24" s="1">
        <v>240002.0</v>
      </c>
      <c r="E24" s="1">
        <v>3207120.0</v>
      </c>
      <c r="F24" s="1">
        <v>310003.0</v>
      </c>
      <c r="G24" s="1" t="s">
        <v>28</v>
      </c>
      <c r="H24" s="1">
        <v>20001.0</v>
      </c>
      <c r="I24" s="1">
        <v>20001.0</v>
      </c>
      <c r="J24" s="1">
        <v>20001.0</v>
      </c>
    </row>
    <row r="25">
      <c r="A25" s="1" t="s">
        <v>3000</v>
      </c>
      <c r="B25" s="1">
        <v>7.0</v>
      </c>
      <c r="C25" s="1">
        <v>108.0</v>
      </c>
      <c r="D25" s="1">
        <v>115.0</v>
      </c>
      <c r="E25" s="1">
        <v>278.0</v>
      </c>
      <c r="F25" s="1">
        <v>125.0</v>
      </c>
      <c r="G25" s="1">
        <v>8.0</v>
      </c>
      <c r="H25" s="1">
        <v>8.0</v>
      </c>
      <c r="I25" s="1">
        <v>8.0</v>
      </c>
      <c r="J25" s="1">
        <v>8.0</v>
      </c>
    </row>
    <row r="26">
      <c r="A26" s="1" t="s">
        <v>3001</v>
      </c>
      <c r="B26" s="1">
        <v>21.0</v>
      </c>
      <c r="C26" s="1">
        <v>556.0</v>
      </c>
      <c r="D26" s="1">
        <v>384.0</v>
      </c>
      <c r="E26" s="1">
        <v>907.0</v>
      </c>
      <c r="F26" s="1">
        <v>342.0</v>
      </c>
      <c r="G26" s="1">
        <v>22.0</v>
      </c>
      <c r="H26" s="1">
        <v>22.0</v>
      </c>
      <c r="I26" s="1">
        <v>22.0</v>
      </c>
      <c r="J26" s="1">
        <v>22.0</v>
      </c>
    </row>
    <row r="27">
      <c r="A27" s="1" t="s">
        <v>3002</v>
      </c>
      <c r="B27" s="1">
        <v>41.0</v>
      </c>
      <c r="C27" s="1">
        <v>1706.0</v>
      </c>
      <c r="D27" s="1">
        <v>769.0</v>
      </c>
      <c r="E27" s="1">
        <v>1848.0</v>
      </c>
      <c r="F27" s="1">
        <v>652.0</v>
      </c>
      <c r="G27" s="1">
        <v>42.0</v>
      </c>
      <c r="H27" s="1">
        <v>42.0</v>
      </c>
      <c r="I27" s="1">
        <v>42.0</v>
      </c>
      <c r="J27" s="1">
        <v>42.0</v>
      </c>
    </row>
    <row r="28">
      <c r="A28" s="1" t="s">
        <v>3003</v>
      </c>
      <c r="B28" s="1">
        <v>201.0</v>
      </c>
      <c r="C28" s="1">
        <v>32506.0</v>
      </c>
      <c r="D28" s="1">
        <v>3870.0</v>
      </c>
      <c r="E28" s="1">
        <v>10580.0</v>
      </c>
      <c r="F28" s="1">
        <v>3132.0</v>
      </c>
      <c r="G28" s="1">
        <v>202.0</v>
      </c>
      <c r="H28" s="1">
        <v>202.0</v>
      </c>
      <c r="I28" s="1">
        <v>202.0</v>
      </c>
      <c r="J28" s="1">
        <v>202.0</v>
      </c>
    </row>
    <row r="29">
      <c r="A29" s="1" t="s">
        <v>3004</v>
      </c>
      <c r="B29" s="1">
        <v>2001.0</v>
      </c>
      <c r="C29" s="1">
        <v>3025006.0</v>
      </c>
      <c r="D29" s="1">
        <v>38707.0</v>
      </c>
      <c r="E29" s="1">
        <v>164108.0</v>
      </c>
      <c r="F29" s="1">
        <v>31032.0</v>
      </c>
      <c r="G29" s="1">
        <v>2002.0</v>
      </c>
      <c r="H29" s="1">
        <v>2002.0</v>
      </c>
      <c r="I29" s="1">
        <v>2002.0</v>
      </c>
      <c r="J29" s="1">
        <v>2002.0</v>
      </c>
    </row>
    <row r="30">
      <c r="A30" s="1" t="s">
        <v>3005</v>
      </c>
      <c r="B30" s="1">
        <v>20001.0</v>
      </c>
      <c r="C30" s="1" t="s">
        <v>28</v>
      </c>
      <c r="D30" s="1">
        <v>384192.0</v>
      </c>
      <c r="E30" s="1">
        <v>3466188.0</v>
      </c>
      <c r="F30" s="1">
        <v>310032.0</v>
      </c>
      <c r="G30" s="1" t="s">
        <v>28</v>
      </c>
      <c r="H30" s="1">
        <v>20002.0</v>
      </c>
      <c r="I30" s="1">
        <v>20002.0</v>
      </c>
      <c r="J30" s="1">
        <v>20002.0</v>
      </c>
    </row>
    <row r="31">
      <c r="A31" s="1" t="s">
        <v>69</v>
      </c>
      <c r="B31" s="1">
        <v>6.0</v>
      </c>
      <c r="C31" s="1">
        <v>80.0</v>
      </c>
      <c r="D31" s="1">
        <v>107.0</v>
      </c>
      <c r="E31" s="1">
        <v>230.0</v>
      </c>
      <c r="F31" s="1">
        <v>180.0</v>
      </c>
      <c r="G31" s="1">
        <v>6.0</v>
      </c>
      <c r="H31" s="1">
        <v>6.0</v>
      </c>
      <c r="I31" s="1">
        <v>6.0</v>
      </c>
      <c r="J31" s="1">
        <v>6.0</v>
      </c>
    </row>
    <row r="32">
      <c r="A32" s="1" t="s">
        <v>24</v>
      </c>
      <c r="B32" s="1">
        <v>20.0</v>
      </c>
      <c r="C32" s="1">
        <v>486.0</v>
      </c>
      <c r="D32" s="1">
        <v>387.0</v>
      </c>
      <c r="E32" s="1">
        <v>855.0</v>
      </c>
      <c r="F32" s="1">
        <v>740.0</v>
      </c>
      <c r="G32" s="1">
        <v>20.0</v>
      </c>
      <c r="H32" s="1">
        <v>20.0</v>
      </c>
      <c r="I32" s="1">
        <v>20.0</v>
      </c>
      <c r="J32" s="1">
        <v>20.0</v>
      </c>
    </row>
    <row r="33">
      <c r="A33" s="1" t="s">
        <v>3006</v>
      </c>
      <c r="B33" s="1">
        <v>40.0</v>
      </c>
      <c r="C33" s="1">
        <v>1576.0</v>
      </c>
      <c r="D33" s="1">
        <v>787.0</v>
      </c>
      <c r="E33" s="1">
        <v>1817.0</v>
      </c>
      <c r="F33" s="1">
        <v>1540.0</v>
      </c>
      <c r="G33" s="1">
        <v>40.0</v>
      </c>
      <c r="H33" s="1">
        <v>40.0</v>
      </c>
      <c r="I33" s="1">
        <v>40.0</v>
      </c>
      <c r="J33" s="1">
        <v>40.0</v>
      </c>
    </row>
    <row r="34">
      <c r="A34" s="1" t="s">
        <v>52</v>
      </c>
      <c r="B34" s="1">
        <v>200.0</v>
      </c>
      <c r="C34" s="1">
        <v>31896.0</v>
      </c>
      <c r="D34" s="1">
        <v>3987.0</v>
      </c>
      <c r="E34" s="1">
        <v>10673.0</v>
      </c>
      <c r="F34" s="1">
        <v>7940.0</v>
      </c>
      <c r="G34" s="1">
        <v>200.0</v>
      </c>
      <c r="H34" s="1">
        <v>200.0</v>
      </c>
      <c r="I34" s="1">
        <v>200.0</v>
      </c>
      <c r="J34" s="1">
        <v>200.0</v>
      </c>
    </row>
    <row r="35">
      <c r="A35" s="1" t="s">
        <v>15</v>
      </c>
      <c r="B35" s="1">
        <v>2000.0</v>
      </c>
      <c r="C35" s="1">
        <v>3018996.0</v>
      </c>
      <c r="D35" s="1">
        <v>39987.0</v>
      </c>
      <c r="E35" s="1">
        <v>164991.0</v>
      </c>
      <c r="F35" s="1">
        <v>79940.0</v>
      </c>
      <c r="G35" s="1">
        <v>2000.0</v>
      </c>
      <c r="H35" s="1">
        <v>2000.0</v>
      </c>
      <c r="I35" s="1">
        <v>2000.0</v>
      </c>
      <c r="J35" s="1">
        <v>2000.0</v>
      </c>
    </row>
    <row r="36">
      <c r="A36" s="1" t="s">
        <v>74</v>
      </c>
      <c r="B36" s="1">
        <v>20000.0</v>
      </c>
      <c r="C36" s="1" t="s">
        <v>28</v>
      </c>
      <c r="D36" s="1">
        <v>399987.0</v>
      </c>
      <c r="E36" s="1">
        <v>3477052.0</v>
      </c>
      <c r="F36" s="1">
        <v>799940.0</v>
      </c>
      <c r="G36" s="1" t="s">
        <v>28</v>
      </c>
      <c r="H36" s="1">
        <v>20000.0</v>
      </c>
      <c r="I36" s="1">
        <v>20000.0</v>
      </c>
      <c r="J36" s="1">
        <v>20000.0</v>
      </c>
    </row>
    <row r="37">
      <c r="A37" s="1" t="s">
        <v>30</v>
      </c>
      <c r="B37" s="1">
        <v>7.0</v>
      </c>
      <c r="C37" s="1">
        <v>114.0</v>
      </c>
      <c r="D37" s="1">
        <v>129.0</v>
      </c>
      <c r="E37" s="1">
        <v>174.0</v>
      </c>
      <c r="F37" s="1">
        <v>265.0</v>
      </c>
      <c r="G37" s="1">
        <v>7.0</v>
      </c>
      <c r="H37" s="1">
        <v>7.0</v>
      </c>
      <c r="I37" s="1">
        <v>7.0</v>
      </c>
      <c r="J37" s="1">
        <v>7.0</v>
      </c>
    </row>
    <row r="38">
      <c r="A38" s="1" t="s">
        <v>67</v>
      </c>
      <c r="B38" s="1">
        <v>21.0</v>
      </c>
      <c r="C38" s="1">
        <v>562.0</v>
      </c>
      <c r="D38" s="1">
        <v>528.0</v>
      </c>
      <c r="E38" s="1">
        <v>545.0</v>
      </c>
      <c r="F38" s="1">
        <v>1335.0</v>
      </c>
      <c r="G38" s="1">
        <v>21.0</v>
      </c>
      <c r="H38" s="1">
        <v>21.0</v>
      </c>
      <c r="I38" s="1">
        <v>21.0</v>
      </c>
      <c r="J38" s="1">
        <v>21.0</v>
      </c>
    </row>
    <row r="39">
      <c r="A39" s="1" t="s">
        <v>3007</v>
      </c>
      <c r="B39" s="1">
        <v>41.0</v>
      </c>
      <c r="C39" s="1">
        <v>1712.0</v>
      </c>
      <c r="D39" s="1">
        <v>1438.0</v>
      </c>
      <c r="E39" s="1">
        <v>1075.0</v>
      </c>
      <c r="F39" s="1">
        <v>3412.0</v>
      </c>
      <c r="G39" s="1">
        <v>41.0</v>
      </c>
      <c r="H39" s="1">
        <v>41.0</v>
      </c>
      <c r="I39" s="1">
        <v>41.0</v>
      </c>
      <c r="J39" s="1">
        <v>41.0</v>
      </c>
    </row>
    <row r="40">
      <c r="A40" s="1" t="s">
        <v>34</v>
      </c>
      <c r="B40" s="1">
        <v>201.0</v>
      </c>
      <c r="C40" s="1">
        <v>32512.0</v>
      </c>
      <c r="D40" s="1">
        <v>23118.0</v>
      </c>
      <c r="E40" s="1">
        <v>5315.0</v>
      </c>
      <c r="F40" s="1">
        <v>27016.0</v>
      </c>
      <c r="G40" s="1">
        <v>201.0</v>
      </c>
      <c r="H40" s="1">
        <v>201.0</v>
      </c>
      <c r="I40" s="1">
        <v>201.0</v>
      </c>
      <c r="J40" s="1">
        <v>201.0</v>
      </c>
    </row>
    <row r="41">
      <c r="A41" s="1" t="s">
        <v>20</v>
      </c>
      <c r="B41" s="1">
        <v>2001.0</v>
      </c>
      <c r="C41" s="1">
        <v>3025012.0</v>
      </c>
      <c r="D41" s="1">
        <v>2031018.0</v>
      </c>
      <c r="E41" s="1">
        <v>53015.0</v>
      </c>
      <c r="F41" s="1">
        <v>426481.0</v>
      </c>
      <c r="G41" s="1">
        <v>2001.0</v>
      </c>
      <c r="H41" s="1">
        <v>2001.0</v>
      </c>
      <c r="I41" s="1">
        <v>2001.0</v>
      </c>
      <c r="J41" s="1">
        <v>2001.0</v>
      </c>
    </row>
    <row r="42">
      <c r="A42" s="1" t="s">
        <v>32</v>
      </c>
      <c r="B42" s="1">
        <v>20001.0</v>
      </c>
      <c r="C42" s="1" t="s">
        <v>28</v>
      </c>
      <c r="D42" s="1" t="s">
        <v>28</v>
      </c>
      <c r="E42" s="1">
        <v>530015.0</v>
      </c>
      <c r="F42" s="1">
        <v>5820081.0</v>
      </c>
      <c r="G42" s="1" t="s">
        <v>28</v>
      </c>
      <c r="H42" s="1" t="s">
        <v>28</v>
      </c>
      <c r="I42" s="1">
        <v>20001.0</v>
      </c>
      <c r="J42" s="1">
        <v>20001.0</v>
      </c>
    </row>
    <row r="43">
      <c r="A43" s="1" t="s">
        <v>3008</v>
      </c>
      <c r="B43" s="1">
        <v>6.0</v>
      </c>
      <c r="C43" s="1">
        <v>91.0</v>
      </c>
      <c r="D43" s="1">
        <v>84.0</v>
      </c>
      <c r="E43" s="1">
        <v>134.0</v>
      </c>
      <c r="F43" s="1">
        <v>170.0</v>
      </c>
      <c r="G43" s="1">
        <v>7.0</v>
      </c>
      <c r="H43" s="1">
        <v>7.0</v>
      </c>
      <c r="I43" s="1">
        <v>7.0</v>
      </c>
      <c r="J43" s="1">
        <v>7.0</v>
      </c>
    </row>
    <row r="44">
      <c r="A44" s="1" t="s">
        <v>3009</v>
      </c>
      <c r="B44" s="1">
        <v>20.0</v>
      </c>
      <c r="C44" s="1">
        <v>504.0</v>
      </c>
      <c r="D44" s="1">
        <v>413.0</v>
      </c>
      <c r="E44" s="1">
        <v>435.0</v>
      </c>
      <c r="F44" s="1">
        <v>1044.0</v>
      </c>
      <c r="G44" s="1">
        <v>21.0</v>
      </c>
      <c r="H44" s="1">
        <v>21.0</v>
      </c>
      <c r="I44" s="1">
        <v>21.0</v>
      </c>
      <c r="J44" s="1">
        <v>21.0</v>
      </c>
    </row>
    <row r="45">
      <c r="A45" s="1" t="s">
        <v>3010</v>
      </c>
      <c r="B45" s="1">
        <v>40.0</v>
      </c>
      <c r="C45" s="1">
        <v>1604.0</v>
      </c>
      <c r="D45" s="1">
        <v>1223.0</v>
      </c>
      <c r="E45" s="1">
        <v>865.0</v>
      </c>
      <c r="F45" s="1">
        <v>2841.0</v>
      </c>
      <c r="G45" s="1">
        <v>41.0</v>
      </c>
      <c r="H45" s="1">
        <v>41.0</v>
      </c>
      <c r="I45" s="1">
        <v>41.0</v>
      </c>
      <c r="J45" s="1">
        <v>41.0</v>
      </c>
    </row>
    <row r="46">
      <c r="A46" s="1" t="s">
        <v>3011</v>
      </c>
      <c r="B46" s="1">
        <v>200.0</v>
      </c>
      <c r="C46" s="1">
        <v>32004.0</v>
      </c>
      <c r="D46" s="1">
        <v>22103.0</v>
      </c>
      <c r="E46" s="1">
        <v>4305.0</v>
      </c>
      <c r="F46" s="1">
        <v>24205.0</v>
      </c>
      <c r="G46" s="1">
        <v>201.0</v>
      </c>
      <c r="H46" s="1">
        <v>201.0</v>
      </c>
      <c r="I46" s="1">
        <v>201.0</v>
      </c>
      <c r="J46" s="1">
        <v>201.0</v>
      </c>
    </row>
    <row r="47">
      <c r="A47" s="1" t="s">
        <v>3012</v>
      </c>
      <c r="B47" s="1">
        <v>2000.0</v>
      </c>
      <c r="C47" s="1">
        <v>3020004.0</v>
      </c>
      <c r="D47" s="1">
        <v>2021003.0</v>
      </c>
      <c r="E47" s="1">
        <v>43005.0</v>
      </c>
      <c r="F47" s="1">
        <v>398470.0</v>
      </c>
      <c r="G47" s="1">
        <v>2001.0</v>
      </c>
      <c r="H47" s="1">
        <v>2001.0</v>
      </c>
      <c r="I47" s="1">
        <v>2001.0</v>
      </c>
      <c r="J47" s="1">
        <v>2001.0</v>
      </c>
    </row>
    <row r="48">
      <c r="A48" s="1" t="s">
        <v>3013</v>
      </c>
      <c r="B48" s="1">
        <v>20000.0</v>
      </c>
      <c r="C48" s="1" t="s">
        <v>28</v>
      </c>
      <c r="D48" s="1" t="s">
        <v>28</v>
      </c>
      <c r="E48" s="1">
        <v>430005.0</v>
      </c>
      <c r="F48" s="1">
        <v>5540070.0</v>
      </c>
      <c r="G48" s="1" t="s">
        <v>28</v>
      </c>
      <c r="H48" s="1" t="s">
        <v>28</v>
      </c>
      <c r="I48" s="1">
        <v>20001.0</v>
      </c>
      <c r="J48" s="1">
        <v>20001.0</v>
      </c>
    </row>
    <row r="49">
      <c r="A49" s="1" t="s">
        <v>3014</v>
      </c>
      <c r="B49" s="1">
        <v>7.0</v>
      </c>
      <c r="C49" s="1">
        <v>98.0</v>
      </c>
      <c r="D49" s="1">
        <v>114.0</v>
      </c>
      <c r="E49" s="1">
        <v>256.0</v>
      </c>
      <c r="F49" s="1">
        <v>125.0</v>
      </c>
      <c r="G49" s="1">
        <v>8.0</v>
      </c>
      <c r="H49" s="1">
        <v>8.0</v>
      </c>
      <c r="I49" s="1">
        <v>8.0</v>
      </c>
      <c r="J49" s="1">
        <v>8.0</v>
      </c>
    </row>
    <row r="50">
      <c r="A50" s="1" t="s">
        <v>3015</v>
      </c>
      <c r="B50" s="1">
        <v>21.0</v>
      </c>
      <c r="C50" s="1">
        <v>511.0</v>
      </c>
      <c r="D50" s="1">
        <v>513.0</v>
      </c>
      <c r="E50" s="1">
        <v>758.0</v>
      </c>
      <c r="F50" s="1">
        <v>940.0</v>
      </c>
      <c r="G50" s="1">
        <v>22.0</v>
      </c>
      <c r="H50" s="1">
        <v>22.0</v>
      </c>
      <c r="I50" s="1">
        <v>22.0</v>
      </c>
      <c r="J50" s="1">
        <v>22.0</v>
      </c>
    </row>
    <row r="51">
      <c r="A51" s="1" t="s">
        <v>3016</v>
      </c>
      <c r="B51" s="1">
        <v>41.0</v>
      </c>
      <c r="C51" s="1">
        <v>1611.0</v>
      </c>
      <c r="D51" s="1">
        <v>1423.0</v>
      </c>
      <c r="E51" s="1">
        <v>1464.0</v>
      </c>
      <c r="F51" s="1">
        <v>2701.0</v>
      </c>
      <c r="G51" s="1">
        <v>42.0</v>
      </c>
      <c r="H51" s="1">
        <v>42.0</v>
      </c>
      <c r="I51" s="1">
        <v>42.0</v>
      </c>
      <c r="J51" s="1">
        <v>42.0</v>
      </c>
    </row>
    <row r="52">
      <c r="A52" s="1" t="s">
        <v>3017</v>
      </c>
      <c r="B52" s="1">
        <v>201.0</v>
      </c>
      <c r="C52" s="1">
        <v>32011.0</v>
      </c>
      <c r="D52" s="1">
        <v>23103.0</v>
      </c>
      <c r="E52" s="1">
        <v>7100.0</v>
      </c>
      <c r="F52" s="1">
        <v>23957.0</v>
      </c>
      <c r="G52" s="1">
        <v>202.0</v>
      </c>
      <c r="H52" s="1">
        <v>202.0</v>
      </c>
      <c r="I52" s="1">
        <v>202.0</v>
      </c>
      <c r="J52" s="1">
        <v>202.0</v>
      </c>
    </row>
    <row r="53">
      <c r="A53" s="1" t="s">
        <v>3018</v>
      </c>
      <c r="B53" s="1">
        <v>2001.0</v>
      </c>
      <c r="C53" s="1">
        <v>3020011.0</v>
      </c>
      <c r="D53" s="1">
        <v>2031003.0</v>
      </c>
      <c r="E53" s="1">
        <v>70226.0</v>
      </c>
      <c r="F53" s="1">
        <v>398045.0</v>
      </c>
      <c r="G53" s="1">
        <v>2002.0</v>
      </c>
      <c r="H53" s="1">
        <v>2002.0</v>
      </c>
      <c r="I53" s="1">
        <v>2002.0</v>
      </c>
      <c r="J53" s="1">
        <v>2002.0</v>
      </c>
    </row>
    <row r="54">
      <c r="A54" s="1" t="s">
        <v>3019</v>
      </c>
      <c r="B54" s="1">
        <v>20001.0</v>
      </c>
      <c r="C54" s="1" t="s">
        <v>28</v>
      </c>
      <c r="D54" s="1" t="s">
        <v>28</v>
      </c>
      <c r="E54" s="1">
        <v>700640.0</v>
      </c>
      <c r="F54" s="1">
        <v>5539537.0</v>
      </c>
      <c r="G54" s="1" t="s">
        <v>28</v>
      </c>
      <c r="H54" s="1" t="s">
        <v>28</v>
      </c>
      <c r="I54" s="1">
        <v>20002.0</v>
      </c>
      <c r="J54" s="1">
        <v>20002.0</v>
      </c>
    </row>
    <row r="55">
      <c r="A55" s="1" t="s">
        <v>66</v>
      </c>
      <c r="B55" s="1">
        <v>6.0</v>
      </c>
      <c r="C55" s="1">
        <v>80.0</v>
      </c>
      <c r="D55" s="1">
        <v>110.0</v>
      </c>
      <c r="E55" s="1">
        <v>215.0</v>
      </c>
      <c r="F55" s="1">
        <v>199.0</v>
      </c>
      <c r="G55" s="1">
        <v>6.0</v>
      </c>
      <c r="H55" s="1">
        <v>6.0</v>
      </c>
      <c r="I55" s="1">
        <v>6.0</v>
      </c>
      <c r="J55" s="1">
        <v>6.0</v>
      </c>
    </row>
    <row r="56">
      <c r="A56" s="1" t="s">
        <v>49</v>
      </c>
      <c r="B56" s="1">
        <v>20.0</v>
      </c>
      <c r="C56" s="1">
        <v>486.0</v>
      </c>
      <c r="D56" s="1">
        <v>523.0</v>
      </c>
      <c r="E56" s="1">
        <v>717.0</v>
      </c>
      <c r="F56" s="1">
        <v>1164.0</v>
      </c>
      <c r="G56" s="1">
        <v>20.0</v>
      </c>
      <c r="H56" s="1">
        <v>20.0</v>
      </c>
      <c r="I56" s="1">
        <v>20.0</v>
      </c>
      <c r="J56" s="1">
        <v>20.0</v>
      </c>
    </row>
    <row r="57">
      <c r="A57" s="1" t="s">
        <v>3020</v>
      </c>
      <c r="B57" s="1">
        <v>40.0</v>
      </c>
      <c r="C57" s="1">
        <v>1576.0</v>
      </c>
      <c r="D57" s="1">
        <v>1453.0</v>
      </c>
      <c r="E57" s="1">
        <v>1423.0</v>
      </c>
      <c r="F57" s="1">
        <v>3091.0</v>
      </c>
      <c r="G57" s="1">
        <v>40.0</v>
      </c>
      <c r="H57" s="1">
        <v>40.0</v>
      </c>
      <c r="I57" s="1">
        <v>40.0</v>
      </c>
      <c r="J57" s="1">
        <v>40.0</v>
      </c>
    </row>
    <row r="58">
      <c r="A58" s="1" t="s">
        <v>54</v>
      </c>
      <c r="B58" s="1">
        <v>200.0</v>
      </c>
      <c r="C58" s="1">
        <v>31896.0</v>
      </c>
      <c r="D58" s="1">
        <v>23293.0</v>
      </c>
      <c r="E58" s="1">
        <v>7059.0</v>
      </c>
      <c r="F58" s="1">
        <v>25495.0</v>
      </c>
      <c r="G58" s="1">
        <v>200.0</v>
      </c>
      <c r="H58" s="1">
        <v>200.0</v>
      </c>
      <c r="I58" s="1">
        <v>200.0</v>
      </c>
      <c r="J58" s="1">
        <v>200.0</v>
      </c>
    </row>
    <row r="59">
      <c r="A59" s="1" t="s">
        <v>60</v>
      </c>
      <c r="B59" s="1">
        <v>2000.0</v>
      </c>
      <c r="C59" s="1">
        <v>3018996.0</v>
      </c>
      <c r="D59" s="1">
        <v>2032993.0</v>
      </c>
      <c r="E59" s="1">
        <v>70185.0</v>
      </c>
      <c r="F59" s="1">
        <v>411460.0</v>
      </c>
      <c r="G59" s="1">
        <v>2000.0</v>
      </c>
      <c r="H59" s="1">
        <v>2000.0</v>
      </c>
      <c r="I59" s="1">
        <v>2000.0</v>
      </c>
      <c r="J59" s="1">
        <v>2000.0</v>
      </c>
    </row>
    <row r="60">
      <c r="A60" s="1" t="s">
        <v>35</v>
      </c>
      <c r="B60" s="1">
        <v>20000.0</v>
      </c>
      <c r="C60" s="1" t="s">
        <v>28</v>
      </c>
      <c r="D60" s="1" t="s">
        <v>28</v>
      </c>
      <c r="E60" s="1">
        <v>700599.0</v>
      </c>
      <c r="F60" s="1">
        <v>5670060.0</v>
      </c>
      <c r="G60" s="1" t="s">
        <v>28</v>
      </c>
      <c r="H60" s="1" t="s">
        <v>28</v>
      </c>
      <c r="I60" s="1">
        <v>20000.0</v>
      </c>
      <c r="J60" s="1">
        <v>20000.0</v>
      </c>
    </row>
    <row r="61">
      <c r="A61" s="1" t="s">
        <v>102</v>
      </c>
      <c r="B61" s="1">
        <v>55.0</v>
      </c>
      <c r="C61" s="1">
        <v>2713.0</v>
      </c>
      <c r="D61" s="1">
        <v>935.0</v>
      </c>
      <c r="E61" s="1">
        <v>1978.0</v>
      </c>
      <c r="F61" s="1">
        <v>1607.0</v>
      </c>
      <c r="G61" s="1">
        <v>55.0</v>
      </c>
      <c r="H61" s="1">
        <v>55.0</v>
      </c>
      <c r="I61" s="1">
        <v>55.0</v>
      </c>
      <c r="J61" s="1">
        <v>55.0</v>
      </c>
    </row>
    <row r="62">
      <c r="A62" s="1" t="s">
        <v>99</v>
      </c>
      <c r="B62" s="1">
        <v>1536.0</v>
      </c>
      <c r="C62" s="1">
        <v>1084081.0</v>
      </c>
      <c r="D62" s="1">
        <v>364067.0</v>
      </c>
      <c r="E62" s="1">
        <v>1012091.0</v>
      </c>
      <c r="F62" s="1">
        <v>66554.0</v>
      </c>
      <c r="G62" s="1">
        <v>1534.0</v>
      </c>
      <c r="H62" s="1">
        <v>1534.0</v>
      </c>
      <c r="I62" s="1">
        <v>1345.0</v>
      </c>
      <c r="J62" s="1">
        <v>1534.0</v>
      </c>
    </row>
    <row r="63">
      <c r="A63" s="1" t="s">
        <v>100</v>
      </c>
      <c r="B63" s="1">
        <v>55.0</v>
      </c>
      <c r="C63" s="1">
        <v>2713.0</v>
      </c>
      <c r="D63" s="1">
        <v>935.0</v>
      </c>
      <c r="E63" s="1">
        <v>1978.0</v>
      </c>
      <c r="F63" s="1">
        <v>1607.0</v>
      </c>
      <c r="G63" s="1">
        <v>55.0</v>
      </c>
      <c r="H63" s="1">
        <v>55.0</v>
      </c>
      <c r="I63" s="1">
        <v>55.0</v>
      </c>
      <c r="J63" s="1">
        <v>55.0</v>
      </c>
    </row>
    <row r="64">
      <c r="A64" s="1" t="s">
        <v>101</v>
      </c>
      <c r="B64" s="1">
        <v>21.0</v>
      </c>
      <c r="C64" s="1">
        <v>308.0</v>
      </c>
      <c r="D64" s="1">
        <v>304.0</v>
      </c>
      <c r="E64" s="1">
        <v>865.0</v>
      </c>
      <c r="F64" s="1">
        <v>533.0</v>
      </c>
      <c r="G64" s="1">
        <v>19.0</v>
      </c>
      <c r="H64" s="1">
        <v>19.0</v>
      </c>
      <c r="I64" s="1">
        <v>19.0</v>
      </c>
      <c r="J64" s="1">
        <v>19.0</v>
      </c>
    </row>
    <row r="65">
      <c r="A65" s="1" t="s">
        <v>112</v>
      </c>
      <c r="B65" s="1">
        <v>149.0</v>
      </c>
      <c r="C65" s="1">
        <v>13862.0</v>
      </c>
      <c r="D65" s="1">
        <v>2609.0</v>
      </c>
      <c r="E65" s="1">
        <v>6664.0</v>
      </c>
      <c r="F65" s="1">
        <v>4148.0</v>
      </c>
      <c r="G65" s="1">
        <v>149.0</v>
      </c>
      <c r="H65" s="1">
        <v>149.0</v>
      </c>
      <c r="I65" s="1">
        <v>149.0</v>
      </c>
      <c r="J65" s="1">
        <v>149.0</v>
      </c>
    </row>
    <row r="66">
      <c r="A66" s="1" t="s">
        <v>111</v>
      </c>
      <c r="B66" s="1">
        <v>147.0</v>
      </c>
      <c r="C66" s="1">
        <v>13504.0</v>
      </c>
      <c r="D66" s="1">
        <v>2571.0</v>
      </c>
      <c r="E66" s="1">
        <v>6492.0</v>
      </c>
      <c r="F66" s="1">
        <v>4089.0</v>
      </c>
      <c r="G66" s="1">
        <v>147.0</v>
      </c>
      <c r="H66" s="1">
        <v>147.0</v>
      </c>
      <c r="I66" s="1">
        <v>147.0</v>
      </c>
      <c r="J66" s="1">
        <v>147.0</v>
      </c>
    </row>
    <row r="67">
      <c r="A67" s="1" t="s">
        <v>104</v>
      </c>
      <c r="B67" s="1">
        <v>1733.0</v>
      </c>
      <c r="C67" s="1">
        <v>1279456.0</v>
      </c>
      <c r="D67" s="1">
        <v>33915.0</v>
      </c>
      <c r="E67" s="1">
        <v>93245.0</v>
      </c>
      <c r="F67" s="1">
        <v>46033.0</v>
      </c>
      <c r="G67" s="1">
        <v>1733.0</v>
      </c>
      <c r="H67" s="1">
        <v>1733.0</v>
      </c>
      <c r="I67" s="1">
        <v>1733.0</v>
      </c>
      <c r="J67" s="1">
        <v>1733.0</v>
      </c>
    </row>
    <row r="68">
      <c r="A68" s="1" t="s">
        <v>106</v>
      </c>
      <c r="B68" s="1">
        <v>1731.0</v>
      </c>
      <c r="C68" s="1">
        <v>1279494.0</v>
      </c>
      <c r="D68" s="1">
        <v>33923.0</v>
      </c>
      <c r="E68" s="1">
        <v>92878.0</v>
      </c>
      <c r="F68" s="1">
        <v>46003.0</v>
      </c>
      <c r="G68" s="1">
        <v>1731.0</v>
      </c>
      <c r="H68" s="1">
        <v>1731.0</v>
      </c>
      <c r="I68" s="1">
        <v>1731.0</v>
      </c>
      <c r="J68" s="1">
        <v>1731.0</v>
      </c>
    </row>
    <row r="69">
      <c r="A69" s="1" t="s">
        <v>113</v>
      </c>
      <c r="B69" s="1">
        <v>1763.0</v>
      </c>
      <c r="C69" s="1">
        <v>1323634.0</v>
      </c>
      <c r="D69" s="1">
        <v>37809.0</v>
      </c>
      <c r="E69" s="1">
        <v>94144.0</v>
      </c>
      <c r="F69" s="1">
        <v>46715.0</v>
      </c>
      <c r="G69" s="1">
        <v>1763.0</v>
      </c>
      <c r="H69" s="1">
        <v>1763.0</v>
      </c>
      <c r="I69" s="1">
        <v>1763.0</v>
      </c>
      <c r="J69" s="1">
        <v>1763.0</v>
      </c>
    </row>
    <row r="70">
      <c r="A70" s="1" t="s">
        <v>119</v>
      </c>
      <c r="B70" s="1">
        <v>15.0</v>
      </c>
      <c r="C70" s="1">
        <v>334.0</v>
      </c>
      <c r="D70" s="1">
        <v>255.0</v>
      </c>
      <c r="E70" s="1">
        <v>494.0</v>
      </c>
      <c r="F70" s="1">
        <v>427.0</v>
      </c>
      <c r="G70" s="1">
        <v>15.0</v>
      </c>
      <c r="H70" s="1">
        <v>15.0</v>
      </c>
      <c r="I70" s="1">
        <v>15.0</v>
      </c>
      <c r="J70" s="1">
        <v>15.0</v>
      </c>
    </row>
    <row r="71">
      <c r="A71" s="1" t="s">
        <v>121</v>
      </c>
      <c r="B71" s="1">
        <v>19.0</v>
      </c>
      <c r="C71" s="1">
        <v>421.0</v>
      </c>
      <c r="D71" s="1">
        <v>314.0</v>
      </c>
      <c r="E71" s="1">
        <v>589.0</v>
      </c>
      <c r="F71" s="1">
        <v>502.0</v>
      </c>
      <c r="G71" s="1">
        <v>18.0</v>
      </c>
      <c r="H71" s="1">
        <v>18.0</v>
      </c>
      <c r="I71" s="1">
        <v>18.0</v>
      </c>
      <c r="J71" s="1">
        <v>18.0</v>
      </c>
    </row>
    <row r="72">
      <c r="A72" s="1" t="s">
        <v>117</v>
      </c>
      <c r="B72" s="1">
        <v>68.0</v>
      </c>
      <c r="C72" s="1">
        <v>4134.0</v>
      </c>
      <c r="D72" s="1">
        <v>1270.0</v>
      </c>
      <c r="E72" s="1">
        <v>2747.0</v>
      </c>
      <c r="F72" s="1">
        <v>2051.0</v>
      </c>
      <c r="G72" s="1">
        <v>68.0</v>
      </c>
      <c r="H72" s="1">
        <v>68.0</v>
      </c>
      <c r="I72" s="1">
        <v>68.0</v>
      </c>
      <c r="J72" s="1">
        <v>68.0</v>
      </c>
    </row>
    <row r="73">
      <c r="A73" s="1" t="s">
        <v>114</v>
      </c>
      <c r="B73" s="1">
        <v>1.0</v>
      </c>
      <c r="C73" s="1">
        <v>11.0</v>
      </c>
      <c r="D73" s="1">
        <v>16.0</v>
      </c>
      <c r="E73" s="1">
        <v>13.0</v>
      </c>
      <c r="F73" s="1">
        <v>14.0</v>
      </c>
      <c r="G73" s="1">
        <v>1.0</v>
      </c>
      <c r="H73" s="1">
        <v>1.0</v>
      </c>
      <c r="I73" s="1">
        <v>1.0</v>
      </c>
      <c r="J73" s="1">
        <v>1.0</v>
      </c>
    </row>
    <row r="74">
      <c r="A74" s="1" t="s">
        <v>116</v>
      </c>
      <c r="B74" s="1">
        <v>7.0</v>
      </c>
      <c r="C74" s="1">
        <v>81.0</v>
      </c>
      <c r="D74" s="1">
        <v>103.0</v>
      </c>
      <c r="E74" s="1">
        <v>215.0</v>
      </c>
      <c r="F74" s="1">
        <v>160.0</v>
      </c>
      <c r="G74" s="1">
        <v>6.0</v>
      </c>
      <c r="H74" s="1">
        <v>6.0</v>
      </c>
      <c r="I74" s="1">
        <v>6.0</v>
      </c>
      <c r="J74" s="1">
        <v>6.0</v>
      </c>
    </row>
    <row r="75">
      <c r="A75" s="1" t="s">
        <v>115</v>
      </c>
      <c r="B75" s="1">
        <v>12.0</v>
      </c>
      <c r="C75" s="1">
        <v>170.0</v>
      </c>
      <c r="D75" s="1">
        <v>172.0</v>
      </c>
      <c r="E75" s="1">
        <v>370.0</v>
      </c>
      <c r="F75" s="1">
        <v>279.0</v>
      </c>
      <c r="G75" s="1">
        <v>10.0</v>
      </c>
      <c r="H75" s="1">
        <v>10.0</v>
      </c>
      <c r="I75" s="1">
        <v>10.0</v>
      </c>
      <c r="J75" s="1">
        <v>10.0</v>
      </c>
    </row>
    <row r="76">
      <c r="A76" s="1" t="s">
        <v>118</v>
      </c>
      <c r="B76" s="1">
        <v>42.0</v>
      </c>
      <c r="C76" s="1">
        <v>1170.0</v>
      </c>
      <c r="D76" s="1">
        <v>636.0</v>
      </c>
      <c r="E76" s="1">
        <v>1602.0</v>
      </c>
      <c r="F76" s="1">
        <v>1102.0</v>
      </c>
      <c r="G76" s="1">
        <v>37.0</v>
      </c>
      <c r="H76" s="1">
        <v>37.0</v>
      </c>
      <c r="I76" s="1">
        <v>37.0</v>
      </c>
      <c r="J76" s="1">
        <v>37.0</v>
      </c>
    </row>
    <row r="77">
      <c r="A77" s="1" t="s">
        <v>122</v>
      </c>
      <c r="B77" s="1">
        <v>18.0</v>
      </c>
      <c r="C77" s="1">
        <v>310.0</v>
      </c>
      <c r="D77" s="1">
        <v>275.0</v>
      </c>
      <c r="E77" s="1">
        <v>645.0</v>
      </c>
      <c r="F77" s="1">
        <v>469.0</v>
      </c>
      <c r="G77" s="1">
        <v>16.0</v>
      </c>
      <c r="H77" s="1">
        <v>16.0</v>
      </c>
      <c r="I77" s="1">
        <v>16.0</v>
      </c>
      <c r="J77" s="1">
        <v>16.0</v>
      </c>
    </row>
    <row r="78">
      <c r="A78" s="1" t="s">
        <v>120</v>
      </c>
      <c r="B78" s="1">
        <v>1.0</v>
      </c>
      <c r="C78" s="1">
        <v>11.0</v>
      </c>
      <c r="D78" s="1">
        <v>16.0</v>
      </c>
      <c r="E78" s="1">
        <v>13.0</v>
      </c>
      <c r="F78" s="1">
        <v>14.0</v>
      </c>
      <c r="G78" s="1">
        <v>1.0</v>
      </c>
      <c r="H78" s="1">
        <v>1.0</v>
      </c>
      <c r="I78" s="1">
        <v>1.0</v>
      </c>
      <c r="J78" s="1">
        <v>1.0</v>
      </c>
    </row>
    <row r="79">
      <c r="A79" s="1" t="s">
        <v>123</v>
      </c>
      <c r="B79" s="1">
        <v>114.0</v>
      </c>
      <c r="C79" s="1">
        <v>9947.0</v>
      </c>
      <c r="D79" s="1">
        <v>2921.0</v>
      </c>
      <c r="E79" s="1">
        <v>4484.0</v>
      </c>
      <c r="F79" s="1">
        <v>3188.0</v>
      </c>
      <c r="G79" s="1">
        <v>114.0</v>
      </c>
      <c r="H79" s="1">
        <v>114.0</v>
      </c>
      <c r="I79" s="1">
        <v>114.0</v>
      </c>
      <c r="J79" s="1">
        <v>114.0</v>
      </c>
    </row>
    <row r="80">
      <c r="A80" s="1" t="s">
        <v>129</v>
      </c>
      <c r="B80" s="1">
        <v>334.0</v>
      </c>
      <c r="C80" s="1">
        <v>79257.0</v>
      </c>
      <c r="D80" s="1">
        <v>15261.0</v>
      </c>
      <c r="E80" s="1">
        <v>15875.0</v>
      </c>
      <c r="F80" s="1">
        <v>9388.0</v>
      </c>
      <c r="G80" s="1">
        <v>334.0</v>
      </c>
      <c r="H80" s="1">
        <v>334.0</v>
      </c>
      <c r="I80" s="1">
        <v>334.0</v>
      </c>
      <c r="J80" s="1">
        <v>334.0</v>
      </c>
    </row>
    <row r="81">
      <c r="A81" s="1" t="s">
        <v>126</v>
      </c>
      <c r="B81" s="1">
        <v>1104.0</v>
      </c>
      <c r="C81" s="1">
        <v>841592.0</v>
      </c>
      <c r="D81" s="1">
        <v>127751.0</v>
      </c>
      <c r="E81" s="1">
        <v>67087.0</v>
      </c>
      <c r="F81" s="1">
        <v>31088.0</v>
      </c>
      <c r="G81" s="1">
        <v>1104.0</v>
      </c>
      <c r="H81" s="1">
        <v>1104.0</v>
      </c>
      <c r="I81" s="1">
        <v>1104.0</v>
      </c>
      <c r="J81" s="1">
        <v>1104.0</v>
      </c>
    </row>
    <row r="82">
      <c r="A82" s="1" t="s">
        <v>132</v>
      </c>
      <c r="B82" s="1">
        <v>16.0</v>
      </c>
      <c r="C82" s="1">
        <v>250.0</v>
      </c>
      <c r="D82" s="1">
        <v>211.0</v>
      </c>
      <c r="E82" s="1">
        <v>364.0</v>
      </c>
      <c r="F82" s="1">
        <v>328.0</v>
      </c>
      <c r="G82" s="1">
        <v>12.0</v>
      </c>
      <c r="H82" s="1">
        <v>12.0</v>
      </c>
      <c r="I82" s="1">
        <v>12.0</v>
      </c>
      <c r="J82" s="1">
        <v>12.0</v>
      </c>
    </row>
    <row r="83">
      <c r="A83" s="1" t="s">
        <v>131</v>
      </c>
      <c r="B83" s="1">
        <v>509.0</v>
      </c>
      <c r="C83" s="1">
        <v>26612.0</v>
      </c>
      <c r="D83" s="1">
        <v>16744.0</v>
      </c>
      <c r="E83" s="1">
        <v>25093.0</v>
      </c>
      <c r="F83" s="1">
        <v>9367.0</v>
      </c>
      <c r="G83" s="1">
        <v>430.0</v>
      </c>
      <c r="H83" s="1">
        <v>430.0</v>
      </c>
      <c r="I83" s="1">
        <v>430.0</v>
      </c>
      <c r="J83" s="1">
        <v>430.0</v>
      </c>
    </row>
    <row r="84">
      <c r="A84" s="1" t="s">
        <v>128</v>
      </c>
      <c r="B84" s="1">
        <v>54.0</v>
      </c>
      <c r="C84" s="1">
        <v>1095.0</v>
      </c>
      <c r="D84" s="1">
        <v>867.0</v>
      </c>
      <c r="E84" s="1">
        <v>2381.0</v>
      </c>
      <c r="F84" s="1">
        <v>1251.0</v>
      </c>
      <c r="G84" s="1">
        <v>45.0</v>
      </c>
      <c r="H84" s="1">
        <v>45.0</v>
      </c>
      <c r="I84" s="1">
        <v>44.0</v>
      </c>
      <c r="J84" s="1">
        <v>45.0</v>
      </c>
    </row>
    <row r="85">
      <c r="A85" s="1" t="s">
        <v>127</v>
      </c>
      <c r="B85" s="1">
        <v>530.0</v>
      </c>
      <c r="C85" s="1">
        <v>45111.0</v>
      </c>
      <c r="D85" s="1">
        <v>25763.0</v>
      </c>
      <c r="E85" s="1">
        <v>28130.0</v>
      </c>
      <c r="F85" s="1">
        <v>12380.0</v>
      </c>
      <c r="G85" s="1">
        <v>430.0</v>
      </c>
      <c r="H85" s="1">
        <v>430.0</v>
      </c>
      <c r="I85" s="1">
        <v>422.0</v>
      </c>
      <c r="J85" s="1">
        <v>430.0</v>
      </c>
    </row>
    <row r="86">
      <c r="A86" s="1" t="s">
        <v>125</v>
      </c>
      <c r="B86" s="1">
        <v>4590.0</v>
      </c>
      <c r="C86" s="1">
        <v>2491254.0</v>
      </c>
      <c r="D86" s="1">
        <v>1893475.0</v>
      </c>
      <c r="E86" s="1">
        <v>451097.0</v>
      </c>
      <c r="F86" s="1">
        <v>105617.0</v>
      </c>
      <c r="G86" s="1">
        <v>3690.0</v>
      </c>
      <c r="H86" s="1">
        <v>3690.0</v>
      </c>
      <c r="I86" s="1">
        <v>3662.0</v>
      </c>
      <c r="J86" s="1">
        <v>3690.0</v>
      </c>
    </row>
    <row r="87">
      <c r="A87" s="1" t="s">
        <v>130</v>
      </c>
      <c r="B87" s="1">
        <v>157.0</v>
      </c>
      <c r="C87" s="1">
        <v>20214.0</v>
      </c>
      <c r="D87" s="1">
        <v>2669.0</v>
      </c>
      <c r="E87" s="1">
        <v>6773.0</v>
      </c>
      <c r="F87" s="1">
        <v>4616.0</v>
      </c>
      <c r="G87" s="1">
        <v>157.0</v>
      </c>
      <c r="H87" s="1">
        <v>157.0</v>
      </c>
      <c r="I87" s="1">
        <v>157.0</v>
      </c>
      <c r="J87" s="1">
        <v>157.0</v>
      </c>
    </row>
    <row r="88">
      <c r="A88" s="1" t="s">
        <v>124</v>
      </c>
      <c r="B88" s="1">
        <v>521.0</v>
      </c>
      <c r="C88" s="1">
        <v>209312.0</v>
      </c>
      <c r="D88" s="1">
        <v>8857.0</v>
      </c>
      <c r="E88" s="1">
        <v>27779.0</v>
      </c>
      <c r="F88" s="1">
        <v>15354.0</v>
      </c>
      <c r="G88" s="1">
        <v>521.0</v>
      </c>
      <c r="H88" s="1">
        <v>521.0</v>
      </c>
      <c r="I88" s="1">
        <v>521.0</v>
      </c>
      <c r="J88" s="1">
        <v>521.0</v>
      </c>
    </row>
    <row r="89">
      <c r="A89" s="1" t="s">
        <v>141</v>
      </c>
      <c r="B89" s="1">
        <v>3304.0</v>
      </c>
      <c r="C89" s="1">
        <v>7474692.0</v>
      </c>
      <c r="D89" s="1">
        <v>1043151.0</v>
      </c>
      <c r="E89" s="1">
        <v>272577.0</v>
      </c>
      <c r="F89" s="1">
        <v>93088.0</v>
      </c>
      <c r="G89" s="1">
        <v>3304.0</v>
      </c>
      <c r="H89" s="1">
        <v>3304.0</v>
      </c>
      <c r="I89" s="1">
        <v>3304.0</v>
      </c>
      <c r="J89" s="1">
        <v>3304.0</v>
      </c>
    </row>
    <row r="90">
      <c r="A90" s="1" t="s">
        <v>133</v>
      </c>
      <c r="B90" s="1">
        <v>11004.0</v>
      </c>
      <c r="C90" s="1" t="s">
        <v>28</v>
      </c>
      <c r="D90" s="1">
        <v>1.1177051E7</v>
      </c>
      <c r="E90" s="1">
        <v>1363257.0</v>
      </c>
      <c r="F90" s="1">
        <v>310088.0</v>
      </c>
      <c r="G90" s="1" t="s">
        <v>28</v>
      </c>
      <c r="H90" s="1">
        <v>11004.0</v>
      </c>
      <c r="I90" s="1">
        <v>11004.0</v>
      </c>
      <c r="J90" s="1">
        <v>11004.0</v>
      </c>
    </row>
    <row r="91">
      <c r="A91" s="1" t="s">
        <v>135</v>
      </c>
      <c r="B91" s="1">
        <v>33004.0</v>
      </c>
      <c r="C91" s="1" t="s">
        <v>28</v>
      </c>
      <c r="D91" s="1" t="s">
        <v>28</v>
      </c>
      <c r="E91" s="1">
        <v>6320569.0</v>
      </c>
      <c r="F91" s="1">
        <v>930088.0</v>
      </c>
      <c r="G91" s="1" t="s">
        <v>28</v>
      </c>
      <c r="H91" s="1" t="s">
        <v>28</v>
      </c>
      <c r="I91" s="1">
        <v>33004.0</v>
      </c>
      <c r="J91" s="1">
        <v>33004.0</v>
      </c>
    </row>
    <row r="92">
      <c r="A92" s="1" t="s">
        <v>138</v>
      </c>
      <c r="B92" s="1">
        <v>21992.0</v>
      </c>
      <c r="C92" s="1">
        <v>1.9426432E7</v>
      </c>
      <c r="D92" s="1">
        <v>2.0499266E7</v>
      </c>
      <c r="E92" s="1">
        <v>2256279.0</v>
      </c>
      <c r="F92" s="1">
        <v>372241.0</v>
      </c>
      <c r="G92" s="1">
        <v>19267.0</v>
      </c>
      <c r="H92" s="1">
        <v>19267.0</v>
      </c>
      <c r="I92" s="1">
        <v>19267.0</v>
      </c>
      <c r="J92" s="1">
        <v>19267.0</v>
      </c>
    </row>
    <row r="93">
      <c r="A93" s="1" t="s">
        <v>136</v>
      </c>
      <c r="B93" s="1">
        <v>629042.0</v>
      </c>
      <c r="C93" s="1" t="s">
        <v>28</v>
      </c>
      <c r="D93" s="1" t="s">
        <v>28</v>
      </c>
      <c r="E93" s="1" t="s">
        <v>28</v>
      </c>
      <c r="F93" s="1">
        <v>1.0538686E7</v>
      </c>
      <c r="G93" s="1" t="s">
        <v>28</v>
      </c>
      <c r="H93" s="1" t="s">
        <v>28</v>
      </c>
      <c r="I93" s="1" t="s">
        <v>28</v>
      </c>
      <c r="J93" s="1">
        <v>556567.0</v>
      </c>
    </row>
    <row r="94">
      <c r="A94" s="1" t="s">
        <v>140</v>
      </c>
      <c r="B94" s="1">
        <v>50300.0</v>
      </c>
      <c r="C94" s="1" t="s">
        <v>28</v>
      </c>
      <c r="D94" s="1" t="s">
        <v>28</v>
      </c>
      <c r="E94" s="1">
        <v>1.1982983E7</v>
      </c>
      <c r="F94" s="1">
        <v>1945716.0</v>
      </c>
      <c r="G94" s="1" t="s">
        <v>28</v>
      </c>
      <c r="H94" s="1" t="s">
        <v>28</v>
      </c>
      <c r="I94" s="1">
        <v>40300.0</v>
      </c>
      <c r="J94" s="1">
        <v>40300.0</v>
      </c>
    </row>
    <row r="95">
      <c r="A95" s="1" t="s">
        <v>139</v>
      </c>
      <c r="B95" s="1">
        <v>1561.0</v>
      </c>
      <c r="C95" s="1">
        <v>1844712.0</v>
      </c>
      <c r="D95" s="1">
        <v>26537.0</v>
      </c>
      <c r="E95" s="1">
        <v>108456.0</v>
      </c>
      <c r="F95" s="1">
        <v>46034.0</v>
      </c>
      <c r="G95" s="1">
        <v>1561.0</v>
      </c>
      <c r="H95" s="1">
        <v>1561.0</v>
      </c>
      <c r="I95" s="1">
        <v>1561.0</v>
      </c>
      <c r="J95" s="1">
        <v>1561.0</v>
      </c>
    </row>
    <row r="96">
      <c r="A96" s="1" t="s">
        <v>134</v>
      </c>
      <c r="B96" s="1">
        <v>5201.0</v>
      </c>
      <c r="C96" s="1">
        <v>2.0345012E7</v>
      </c>
      <c r="D96" s="1">
        <v>88417.0</v>
      </c>
      <c r="E96" s="1">
        <v>520047.0</v>
      </c>
      <c r="F96" s="1">
        <v>153414.0</v>
      </c>
      <c r="G96" s="1">
        <v>5201.0</v>
      </c>
      <c r="H96" s="1">
        <v>5201.0</v>
      </c>
      <c r="I96" s="1">
        <v>5201.0</v>
      </c>
      <c r="J96" s="1">
        <v>5201.0</v>
      </c>
    </row>
    <row r="97">
      <c r="A97" s="1" t="s">
        <v>137</v>
      </c>
      <c r="B97" s="1">
        <v>15601.0</v>
      </c>
      <c r="C97" s="1" t="s">
        <v>28</v>
      </c>
      <c r="D97" s="1">
        <v>265217.0</v>
      </c>
      <c r="E97" s="1">
        <v>2341141.0</v>
      </c>
      <c r="F97" s="1">
        <v>460214.0</v>
      </c>
      <c r="G97" s="1" t="s">
        <v>28</v>
      </c>
      <c r="H97" s="1">
        <v>15601.0</v>
      </c>
      <c r="I97" s="1">
        <v>15601.0</v>
      </c>
      <c r="J97" s="1">
        <v>15601.0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tr">
        <f t="array" ref="A1:F1000">'2021-01-25-095613_debug_t60'!A:F</f>
        <v>name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>
      <c r="A2" s="2" t="s">
        <v>89</v>
      </c>
      <c r="B2" s="4">
        <v>7.0</v>
      </c>
      <c r="C2" s="4">
        <v>130.0</v>
      </c>
      <c r="D2" s="4">
        <v>94.0</v>
      </c>
      <c r="E2" s="4">
        <v>183.0</v>
      </c>
      <c r="F2" s="4">
        <v>113.0</v>
      </c>
    </row>
    <row r="3">
      <c r="A3" s="2" t="s">
        <v>94</v>
      </c>
      <c r="B3" s="4">
        <v>5.0</v>
      </c>
      <c r="C3" s="4">
        <v>65.0</v>
      </c>
      <c r="D3" s="4">
        <v>80.0</v>
      </c>
      <c r="E3" s="4">
        <v>152.0</v>
      </c>
      <c r="F3" s="4">
        <v>115.0</v>
      </c>
    </row>
    <row r="4">
      <c r="A4" s="2" t="s">
        <v>98</v>
      </c>
      <c r="B4" s="4">
        <v>12.0</v>
      </c>
      <c r="C4" s="4">
        <v>176.0</v>
      </c>
      <c r="D4" s="4">
        <v>185.0</v>
      </c>
      <c r="E4" s="4">
        <v>410.0</v>
      </c>
      <c r="F4" s="4">
        <v>282.0</v>
      </c>
    </row>
    <row r="5">
      <c r="A5" s="2" t="s">
        <v>86</v>
      </c>
      <c r="B5" s="4">
        <v>6.0</v>
      </c>
      <c r="C5" s="4">
        <v>81.0</v>
      </c>
      <c r="D5" s="4">
        <v>101.0</v>
      </c>
      <c r="E5" s="4">
        <v>226.0</v>
      </c>
      <c r="F5" s="4">
        <v>159.0</v>
      </c>
    </row>
    <row r="6">
      <c r="A6" s="2" t="s">
        <v>83</v>
      </c>
      <c r="B6" s="4">
        <v>3.0</v>
      </c>
      <c r="C6" s="4">
        <v>41.0</v>
      </c>
      <c r="D6" s="4">
        <v>44.0</v>
      </c>
      <c r="E6" s="4">
        <v>36.0</v>
      </c>
      <c r="F6" s="4">
        <v>44.0</v>
      </c>
    </row>
    <row r="7">
      <c r="A7" s="2" t="s">
        <v>79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</row>
    <row r="8">
      <c r="A8" s="2" t="s">
        <v>81</v>
      </c>
      <c r="B8" s="4">
        <v>4.0</v>
      </c>
      <c r="C8" s="4">
        <v>56.0</v>
      </c>
      <c r="D8" s="4">
        <v>49.0</v>
      </c>
      <c r="E8" s="4">
        <v>93.0</v>
      </c>
      <c r="F8" s="4">
        <v>65.0</v>
      </c>
    </row>
    <row r="9">
      <c r="A9" s="2" t="s">
        <v>88</v>
      </c>
      <c r="B9" s="4">
        <v>3.0</v>
      </c>
      <c r="C9" s="4">
        <v>34.0</v>
      </c>
      <c r="D9" s="4">
        <v>33.0</v>
      </c>
      <c r="E9" s="4">
        <v>52.0</v>
      </c>
      <c r="F9" s="4">
        <v>44.0</v>
      </c>
    </row>
    <row r="10">
      <c r="A10" s="2" t="s">
        <v>92</v>
      </c>
      <c r="B10" s="4">
        <v>7.0</v>
      </c>
      <c r="C10" s="4">
        <v>87.0</v>
      </c>
      <c r="D10" s="4">
        <v>121.0</v>
      </c>
      <c r="E10" s="4">
        <v>307.0</v>
      </c>
      <c r="F10" s="4">
        <v>186.0</v>
      </c>
    </row>
    <row r="11">
      <c r="A11" s="2" t="s">
        <v>97</v>
      </c>
      <c r="B11" s="4">
        <v>7.0</v>
      </c>
      <c r="C11" s="4">
        <v>92.0</v>
      </c>
      <c r="D11" s="4">
        <v>115.0</v>
      </c>
      <c r="E11" s="4">
        <v>258.0</v>
      </c>
      <c r="F11" s="4">
        <v>185.0</v>
      </c>
    </row>
    <row r="12">
      <c r="A12" s="2" t="s">
        <v>85</v>
      </c>
      <c r="B12" s="4">
        <v>29.0</v>
      </c>
      <c r="C12" s="4">
        <v>1151.0</v>
      </c>
      <c r="D12" s="4">
        <v>507.0</v>
      </c>
      <c r="E12" s="4">
        <v>953.0</v>
      </c>
      <c r="F12" s="4">
        <v>707.0</v>
      </c>
    </row>
    <row r="13">
      <c r="A13" s="2" t="s">
        <v>13</v>
      </c>
      <c r="B13" s="4">
        <v>7.0</v>
      </c>
      <c r="C13" s="4">
        <v>114.0</v>
      </c>
      <c r="D13" s="4">
        <v>119.0</v>
      </c>
      <c r="E13" s="4">
        <v>203.0</v>
      </c>
      <c r="F13" s="4">
        <v>191.0</v>
      </c>
    </row>
    <row r="14">
      <c r="A14" s="2" t="s">
        <v>37</v>
      </c>
      <c r="B14" s="4">
        <v>21.0</v>
      </c>
      <c r="C14" s="4">
        <v>562.0</v>
      </c>
      <c r="D14" s="4">
        <v>357.0</v>
      </c>
      <c r="E14" s="4">
        <v>711.0</v>
      </c>
      <c r="F14" s="4">
        <v>604.0</v>
      </c>
    </row>
    <row r="15">
      <c r="A15" s="2" t="s">
        <v>2993</v>
      </c>
      <c r="B15" s="4">
        <v>41.0</v>
      </c>
      <c r="C15" s="4">
        <v>1712.0</v>
      </c>
      <c r="D15" s="4">
        <v>697.0</v>
      </c>
      <c r="E15" s="4">
        <v>1505.0</v>
      </c>
      <c r="F15" s="4">
        <v>1194.0</v>
      </c>
    </row>
    <row r="16">
      <c r="A16" s="2" t="s">
        <v>14</v>
      </c>
      <c r="B16" s="4">
        <v>201.0</v>
      </c>
      <c r="C16" s="4">
        <v>32512.0</v>
      </c>
      <c r="D16" s="4">
        <v>3417.0</v>
      </c>
      <c r="E16" s="4">
        <v>9007.0</v>
      </c>
      <c r="F16" s="4">
        <v>5914.0</v>
      </c>
    </row>
    <row r="17">
      <c r="A17" s="2" t="s">
        <v>55</v>
      </c>
      <c r="B17" s="4">
        <v>2001.0</v>
      </c>
      <c r="C17" s="4">
        <v>3025012.0</v>
      </c>
      <c r="D17" s="4">
        <v>34017.0</v>
      </c>
      <c r="E17" s="4">
        <v>148029.0</v>
      </c>
      <c r="F17" s="4">
        <v>59014.0</v>
      </c>
    </row>
    <row r="18">
      <c r="A18" s="2" t="s">
        <v>47</v>
      </c>
      <c r="B18" s="4">
        <v>20001.0</v>
      </c>
      <c r="C18" s="4" t="s">
        <v>28</v>
      </c>
      <c r="D18" s="4">
        <v>340017.0</v>
      </c>
      <c r="E18" s="4">
        <v>3307130.0</v>
      </c>
      <c r="F18" s="4">
        <v>590014.0</v>
      </c>
    </row>
    <row r="19">
      <c r="A19" s="2" t="s">
        <v>2994</v>
      </c>
      <c r="B19" s="4">
        <v>6.0</v>
      </c>
      <c r="C19" s="4">
        <v>91.0</v>
      </c>
      <c r="D19" s="4">
        <v>74.0</v>
      </c>
      <c r="E19" s="4">
        <v>163.0</v>
      </c>
      <c r="F19" s="4">
        <v>96.0</v>
      </c>
    </row>
    <row r="20">
      <c r="A20" s="2" t="s">
        <v>2995</v>
      </c>
      <c r="B20" s="4">
        <v>20.0</v>
      </c>
      <c r="C20" s="4">
        <v>504.0</v>
      </c>
      <c r="D20" s="4">
        <v>242.0</v>
      </c>
      <c r="E20" s="4">
        <v>601.0</v>
      </c>
      <c r="F20" s="4">
        <v>313.0</v>
      </c>
    </row>
    <row r="21">
      <c r="A21" s="2" t="s">
        <v>2996</v>
      </c>
      <c r="B21" s="4">
        <v>40.0</v>
      </c>
      <c r="C21" s="4">
        <v>1604.0</v>
      </c>
      <c r="D21" s="4">
        <v>482.0</v>
      </c>
      <c r="E21" s="4">
        <v>1295.0</v>
      </c>
      <c r="F21" s="4">
        <v>623.0</v>
      </c>
    </row>
    <row r="22">
      <c r="A22" s="2" t="s">
        <v>2997</v>
      </c>
      <c r="B22" s="4">
        <v>200.0</v>
      </c>
      <c r="C22" s="4">
        <v>32004.0</v>
      </c>
      <c r="D22" s="4">
        <v>2402.0</v>
      </c>
      <c r="E22" s="4">
        <v>7997.0</v>
      </c>
      <c r="F22" s="4">
        <v>3103.0</v>
      </c>
    </row>
    <row r="23">
      <c r="A23" s="2" t="s">
        <v>2998</v>
      </c>
      <c r="B23" s="4">
        <v>2000.0</v>
      </c>
      <c r="C23" s="4">
        <v>3020004.0</v>
      </c>
      <c r="D23" s="4">
        <v>24002.0</v>
      </c>
      <c r="E23" s="4">
        <v>138019.0</v>
      </c>
      <c r="F23" s="4">
        <v>31003.0</v>
      </c>
    </row>
    <row r="24">
      <c r="A24" s="2" t="s">
        <v>2999</v>
      </c>
      <c r="B24" s="4">
        <v>20000.0</v>
      </c>
      <c r="C24" s="4" t="s">
        <v>28</v>
      </c>
      <c r="D24" s="4">
        <v>240002.0</v>
      </c>
      <c r="E24" s="4">
        <v>3207120.0</v>
      </c>
      <c r="F24" s="4">
        <v>310003.0</v>
      </c>
    </row>
    <row r="25">
      <c r="A25" s="2" t="s">
        <v>3000</v>
      </c>
      <c r="B25" s="4">
        <v>7.0</v>
      </c>
      <c r="C25" s="4">
        <v>108.0</v>
      </c>
      <c r="D25" s="4">
        <v>115.0</v>
      </c>
      <c r="E25" s="4">
        <v>278.0</v>
      </c>
      <c r="F25" s="4">
        <v>125.0</v>
      </c>
    </row>
    <row r="26">
      <c r="A26" s="2" t="s">
        <v>3001</v>
      </c>
      <c r="B26" s="4">
        <v>21.0</v>
      </c>
      <c r="C26" s="4">
        <v>556.0</v>
      </c>
      <c r="D26" s="4">
        <v>384.0</v>
      </c>
      <c r="E26" s="4">
        <v>907.0</v>
      </c>
      <c r="F26" s="4">
        <v>342.0</v>
      </c>
    </row>
    <row r="27">
      <c r="A27" s="2" t="s">
        <v>3002</v>
      </c>
      <c r="B27" s="4">
        <v>41.0</v>
      </c>
      <c r="C27" s="4">
        <v>1706.0</v>
      </c>
      <c r="D27" s="4">
        <v>769.0</v>
      </c>
      <c r="E27" s="4">
        <v>1848.0</v>
      </c>
      <c r="F27" s="4">
        <v>652.0</v>
      </c>
    </row>
    <row r="28">
      <c r="A28" s="2" t="s">
        <v>3003</v>
      </c>
      <c r="B28" s="4">
        <v>201.0</v>
      </c>
      <c r="C28" s="4">
        <v>32506.0</v>
      </c>
      <c r="D28" s="4">
        <v>3870.0</v>
      </c>
      <c r="E28" s="4">
        <v>10580.0</v>
      </c>
      <c r="F28" s="4">
        <v>3132.0</v>
      </c>
    </row>
    <row r="29">
      <c r="A29" s="2" t="s">
        <v>3004</v>
      </c>
      <c r="B29" s="4">
        <v>2001.0</v>
      </c>
      <c r="C29" s="4">
        <v>3025006.0</v>
      </c>
      <c r="D29" s="4">
        <v>38707.0</v>
      </c>
      <c r="E29" s="4">
        <v>164108.0</v>
      </c>
      <c r="F29" s="4">
        <v>31032.0</v>
      </c>
    </row>
    <row r="30">
      <c r="A30" s="2" t="s">
        <v>3005</v>
      </c>
      <c r="B30" s="4">
        <v>20001.0</v>
      </c>
      <c r="C30" s="4" t="s">
        <v>28</v>
      </c>
      <c r="D30" s="4">
        <v>384192.0</v>
      </c>
      <c r="E30" s="4">
        <v>3466188.0</v>
      </c>
      <c r="F30" s="4">
        <v>310032.0</v>
      </c>
    </row>
    <row r="31">
      <c r="A31" s="2" t="s">
        <v>69</v>
      </c>
      <c r="B31" s="4">
        <v>6.0</v>
      </c>
      <c r="C31" s="4">
        <v>80.0</v>
      </c>
      <c r="D31" s="4">
        <v>107.0</v>
      </c>
      <c r="E31" s="4">
        <v>230.0</v>
      </c>
      <c r="F31" s="4">
        <v>180.0</v>
      </c>
    </row>
    <row r="32">
      <c r="A32" s="2" t="s">
        <v>24</v>
      </c>
      <c r="B32" s="4">
        <v>20.0</v>
      </c>
      <c r="C32" s="4">
        <v>486.0</v>
      </c>
      <c r="D32" s="4">
        <v>387.0</v>
      </c>
      <c r="E32" s="4">
        <v>855.0</v>
      </c>
      <c r="F32" s="4">
        <v>740.0</v>
      </c>
    </row>
    <row r="33">
      <c r="A33" s="2" t="s">
        <v>3006</v>
      </c>
      <c r="B33" s="4">
        <v>40.0</v>
      </c>
      <c r="C33" s="4">
        <v>1576.0</v>
      </c>
      <c r="D33" s="4">
        <v>787.0</v>
      </c>
      <c r="E33" s="4">
        <v>1817.0</v>
      </c>
      <c r="F33" s="4">
        <v>1540.0</v>
      </c>
    </row>
    <row r="34">
      <c r="A34" s="2" t="s">
        <v>52</v>
      </c>
      <c r="B34" s="4">
        <v>200.0</v>
      </c>
      <c r="C34" s="4">
        <v>31896.0</v>
      </c>
      <c r="D34" s="4">
        <v>3987.0</v>
      </c>
      <c r="E34" s="4">
        <v>10673.0</v>
      </c>
      <c r="F34" s="4">
        <v>7940.0</v>
      </c>
    </row>
    <row r="35">
      <c r="A35" s="2" t="s">
        <v>15</v>
      </c>
      <c r="B35" s="4">
        <v>2000.0</v>
      </c>
      <c r="C35" s="4">
        <v>3018996.0</v>
      </c>
      <c r="D35" s="4">
        <v>39987.0</v>
      </c>
      <c r="E35" s="4">
        <v>164991.0</v>
      </c>
      <c r="F35" s="4">
        <v>79940.0</v>
      </c>
    </row>
    <row r="36">
      <c r="A36" s="2" t="s">
        <v>74</v>
      </c>
      <c r="B36" s="4">
        <v>20000.0</v>
      </c>
      <c r="C36" s="4" t="s">
        <v>28</v>
      </c>
      <c r="D36" s="4">
        <v>399987.0</v>
      </c>
      <c r="E36" s="4">
        <v>3477052.0</v>
      </c>
      <c r="F36" s="4">
        <v>799940.0</v>
      </c>
    </row>
    <row r="37">
      <c r="A37" s="2" t="s">
        <v>30</v>
      </c>
      <c r="B37" s="4">
        <v>7.0</v>
      </c>
      <c r="C37" s="4">
        <v>114.0</v>
      </c>
      <c r="D37" s="4">
        <v>129.0</v>
      </c>
      <c r="E37" s="4">
        <v>174.0</v>
      </c>
      <c r="F37" s="4">
        <v>265.0</v>
      </c>
    </row>
    <row r="38">
      <c r="A38" s="2" t="s">
        <v>67</v>
      </c>
      <c r="B38" s="4">
        <v>21.0</v>
      </c>
      <c r="C38" s="4">
        <v>562.0</v>
      </c>
      <c r="D38" s="4">
        <v>528.0</v>
      </c>
      <c r="E38" s="4">
        <v>545.0</v>
      </c>
      <c r="F38" s="4">
        <v>1335.0</v>
      </c>
    </row>
    <row r="39">
      <c r="A39" s="2" t="s">
        <v>3007</v>
      </c>
      <c r="B39" s="4">
        <v>41.0</v>
      </c>
      <c r="C39" s="4">
        <v>1712.0</v>
      </c>
      <c r="D39" s="4">
        <v>1438.0</v>
      </c>
      <c r="E39" s="4">
        <v>1075.0</v>
      </c>
      <c r="F39" s="4">
        <v>3412.0</v>
      </c>
    </row>
    <row r="40">
      <c r="A40" s="2" t="s">
        <v>34</v>
      </c>
      <c r="B40" s="4">
        <v>201.0</v>
      </c>
      <c r="C40" s="4">
        <v>32512.0</v>
      </c>
      <c r="D40" s="4">
        <v>23118.0</v>
      </c>
      <c r="E40" s="4">
        <v>5315.0</v>
      </c>
      <c r="F40" s="4">
        <v>27016.0</v>
      </c>
    </row>
    <row r="41">
      <c r="A41" s="2" t="s">
        <v>20</v>
      </c>
      <c r="B41" s="4">
        <v>2001.0</v>
      </c>
      <c r="C41" s="4">
        <v>3025012.0</v>
      </c>
      <c r="D41" s="4">
        <v>2031018.0</v>
      </c>
      <c r="E41" s="4">
        <v>53015.0</v>
      </c>
      <c r="F41" s="4">
        <v>426481.0</v>
      </c>
    </row>
    <row r="42">
      <c r="A42" s="2" t="s">
        <v>32</v>
      </c>
      <c r="B42" s="4">
        <v>20001.0</v>
      </c>
      <c r="C42" s="4" t="s">
        <v>28</v>
      </c>
      <c r="D42" s="4" t="s">
        <v>28</v>
      </c>
      <c r="E42" s="4">
        <v>530015.0</v>
      </c>
      <c r="F42" s="4">
        <v>5820081.0</v>
      </c>
    </row>
    <row r="43">
      <c r="A43" s="2" t="s">
        <v>3008</v>
      </c>
      <c r="B43" s="4">
        <v>6.0</v>
      </c>
      <c r="C43" s="4">
        <v>91.0</v>
      </c>
      <c r="D43" s="4">
        <v>84.0</v>
      </c>
      <c r="E43" s="4">
        <v>134.0</v>
      </c>
      <c r="F43" s="4">
        <v>170.0</v>
      </c>
    </row>
    <row r="44">
      <c r="A44" s="2" t="s">
        <v>3009</v>
      </c>
      <c r="B44" s="4">
        <v>20.0</v>
      </c>
      <c r="C44" s="4">
        <v>504.0</v>
      </c>
      <c r="D44" s="4">
        <v>413.0</v>
      </c>
      <c r="E44" s="4">
        <v>435.0</v>
      </c>
      <c r="F44" s="4">
        <v>1044.0</v>
      </c>
    </row>
    <row r="45">
      <c r="A45" s="2" t="s">
        <v>3010</v>
      </c>
      <c r="B45" s="4">
        <v>40.0</v>
      </c>
      <c r="C45" s="4">
        <v>1604.0</v>
      </c>
      <c r="D45" s="4">
        <v>1223.0</v>
      </c>
      <c r="E45" s="4">
        <v>865.0</v>
      </c>
      <c r="F45" s="4">
        <v>2841.0</v>
      </c>
    </row>
    <row r="46">
      <c r="A46" s="2" t="s">
        <v>3011</v>
      </c>
      <c r="B46" s="4">
        <v>200.0</v>
      </c>
      <c r="C46" s="4">
        <v>32004.0</v>
      </c>
      <c r="D46" s="4">
        <v>22103.0</v>
      </c>
      <c r="E46" s="4">
        <v>4305.0</v>
      </c>
      <c r="F46" s="4">
        <v>24205.0</v>
      </c>
    </row>
    <row r="47">
      <c r="A47" s="2" t="s">
        <v>3012</v>
      </c>
      <c r="B47" s="4">
        <v>2000.0</v>
      </c>
      <c r="C47" s="4">
        <v>3020004.0</v>
      </c>
      <c r="D47" s="4">
        <v>2021003.0</v>
      </c>
      <c r="E47" s="4">
        <v>43005.0</v>
      </c>
      <c r="F47" s="4">
        <v>398470.0</v>
      </c>
    </row>
    <row r="48">
      <c r="A48" s="2" t="s">
        <v>3013</v>
      </c>
      <c r="B48" s="4">
        <v>20000.0</v>
      </c>
      <c r="C48" s="4" t="s">
        <v>28</v>
      </c>
      <c r="D48" s="4" t="s">
        <v>28</v>
      </c>
      <c r="E48" s="4">
        <v>430005.0</v>
      </c>
      <c r="F48" s="4">
        <v>5540070.0</v>
      </c>
    </row>
    <row r="49">
      <c r="A49" s="2" t="s">
        <v>3014</v>
      </c>
      <c r="B49" s="4">
        <v>7.0</v>
      </c>
      <c r="C49" s="4">
        <v>98.0</v>
      </c>
      <c r="D49" s="4">
        <v>114.0</v>
      </c>
      <c r="E49" s="4">
        <v>256.0</v>
      </c>
      <c r="F49" s="4">
        <v>125.0</v>
      </c>
    </row>
    <row r="50">
      <c r="A50" s="2" t="s">
        <v>3015</v>
      </c>
      <c r="B50" s="4">
        <v>21.0</v>
      </c>
      <c r="C50" s="4">
        <v>511.0</v>
      </c>
      <c r="D50" s="4">
        <v>513.0</v>
      </c>
      <c r="E50" s="4">
        <v>758.0</v>
      </c>
      <c r="F50" s="4">
        <v>940.0</v>
      </c>
    </row>
    <row r="51">
      <c r="A51" s="2" t="s">
        <v>3016</v>
      </c>
      <c r="B51" s="4">
        <v>41.0</v>
      </c>
      <c r="C51" s="4">
        <v>1611.0</v>
      </c>
      <c r="D51" s="4">
        <v>1423.0</v>
      </c>
      <c r="E51" s="4">
        <v>1464.0</v>
      </c>
      <c r="F51" s="4">
        <v>2701.0</v>
      </c>
    </row>
    <row r="52">
      <c r="A52" s="2" t="s">
        <v>3017</v>
      </c>
      <c r="B52" s="4">
        <v>201.0</v>
      </c>
      <c r="C52" s="4">
        <v>32011.0</v>
      </c>
      <c r="D52" s="4">
        <v>23103.0</v>
      </c>
      <c r="E52" s="4">
        <v>7100.0</v>
      </c>
      <c r="F52" s="4">
        <v>23957.0</v>
      </c>
    </row>
    <row r="53">
      <c r="A53" s="2" t="s">
        <v>3018</v>
      </c>
      <c r="B53" s="4">
        <v>2001.0</v>
      </c>
      <c r="C53" s="4">
        <v>3020011.0</v>
      </c>
      <c r="D53" s="4">
        <v>2031003.0</v>
      </c>
      <c r="E53" s="4">
        <v>70226.0</v>
      </c>
      <c r="F53" s="4">
        <v>398045.0</v>
      </c>
    </row>
    <row r="54">
      <c r="A54" s="2" t="s">
        <v>3019</v>
      </c>
      <c r="B54" s="4">
        <v>20001.0</v>
      </c>
      <c r="C54" s="4" t="s">
        <v>28</v>
      </c>
      <c r="D54" s="4" t="s">
        <v>28</v>
      </c>
      <c r="E54" s="4">
        <v>700640.0</v>
      </c>
      <c r="F54" s="4">
        <v>5539537.0</v>
      </c>
    </row>
    <row r="55">
      <c r="A55" s="2" t="s">
        <v>66</v>
      </c>
      <c r="B55" s="4">
        <v>6.0</v>
      </c>
      <c r="C55" s="4">
        <v>80.0</v>
      </c>
      <c r="D55" s="4">
        <v>110.0</v>
      </c>
      <c r="E55" s="4">
        <v>215.0</v>
      </c>
      <c r="F55" s="4">
        <v>199.0</v>
      </c>
    </row>
    <row r="56">
      <c r="A56" s="2" t="s">
        <v>49</v>
      </c>
      <c r="B56" s="4">
        <v>20.0</v>
      </c>
      <c r="C56" s="4">
        <v>486.0</v>
      </c>
      <c r="D56" s="4">
        <v>523.0</v>
      </c>
      <c r="E56" s="4">
        <v>717.0</v>
      </c>
      <c r="F56" s="4">
        <v>1164.0</v>
      </c>
    </row>
    <row r="57">
      <c r="A57" s="2" t="s">
        <v>3020</v>
      </c>
      <c r="B57" s="4">
        <v>40.0</v>
      </c>
      <c r="C57" s="4">
        <v>1576.0</v>
      </c>
      <c r="D57" s="4">
        <v>1453.0</v>
      </c>
      <c r="E57" s="4">
        <v>1423.0</v>
      </c>
      <c r="F57" s="4">
        <v>3091.0</v>
      </c>
    </row>
    <row r="58">
      <c r="A58" s="2" t="s">
        <v>54</v>
      </c>
      <c r="B58" s="4">
        <v>200.0</v>
      </c>
      <c r="C58" s="4">
        <v>31896.0</v>
      </c>
      <c r="D58" s="4">
        <v>23293.0</v>
      </c>
      <c r="E58" s="4">
        <v>7059.0</v>
      </c>
      <c r="F58" s="4">
        <v>25495.0</v>
      </c>
    </row>
    <row r="59">
      <c r="A59" s="2" t="s">
        <v>60</v>
      </c>
      <c r="B59" s="4">
        <v>2000.0</v>
      </c>
      <c r="C59" s="4">
        <v>3018996.0</v>
      </c>
      <c r="D59" s="4">
        <v>2032993.0</v>
      </c>
      <c r="E59" s="4">
        <v>70185.0</v>
      </c>
      <c r="F59" s="4">
        <v>411460.0</v>
      </c>
    </row>
    <row r="60">
      <c r="A60" s="2" t="s">
        <v>35</v>
      </c>
      <c r="B60" s="4">
        <v>20000.0</v>
      </c>
      <c r="C60" s="4" t="s">
        <v>28</v>
      </c>
      <c r="D60" s="4" t="s">
        <v>28</v>
      </c>
      <c r="E60" s="4">
        <v>700599.0</v>
      </c>
      <c r="F60" s="4">
        <v>5670060.0</v>
      </c>
    </row>
    <row r="61">
      <c r="A61" s="2" t="s">
        <v>102</v>
      </c>
      <c r="B61" s="4">
        <v>55.0</v>
      </c>
      <c r="C61" s="4">
        <v>2713.0</v>
      </c>
      <c r="D61" s="4">
        <v>935.0</v>
      </c>
      <c r="E61" s="4">
        <v>1978.0</v>
      </c>
      <c r="F61" s="4">
        <v>1607.0</v>
      </c>
    </row>
    <row r="62">
      <c r="A62" s="2" t="s">
        <v>99</v>
      </c>
      <c r="B62" s="4">
        <v>1536.0</v>
      </c>
      <c r="C62" s="4">
        <v>1084081.0</v>
      </c>
      <c r="D62" s="4">
        <v>364067.0</v>
      </c>
      <c r="E62" s="4">
        <v>1012091.0</v>
      </c>
      <c r="F62" s="4">
        <v>66554.0</v>
      </c>
    </row>
    <row r="63">
      <c r="A63" s="2" t="s">
        <v>100</v>
      </c>
      <c r="B63" s="4">
        <v>55.0</v>
      </c>
      <c r="C63" s="4">
        <v>2713.0</v>
      </c>
      <c r="D63" s="4">
        <v>935.0</v>
      </c>
      <c r="E63" s="4">
        <v>1978.0</v>
      </c>
      <c r="F63" s="4">
        <v>1607.0</v>
      </c>
    </row>
    <row r="64">
      <c r="A64" s="2" t="s">
        <v>101</v>
      </c>
      <c r="B64" s="4">
        <v>21.0</v>
      </c>
      <c r="C64" s="4">
        <v>308.0</v>
      </c>
      <c r="D64" s="4">
        <v>304.0</v>
      </c>
      <c r="E64" s="4">
        <v>865.0</v>
      </c>
      <c r="F64" s="4">
        <v>533.0</v>
      </c>
    </row>
    <row r="65">
      <c r="A65" s="2" t="s">
        <v>112</v>
      </c>
      <c r="B65" s="4">
        <v>149.0</v>
      </c>
      <c r="C65" s="4">
        <v>13862.0</v>
      </c>
      <c r="D65" s="4">
        <v>2609.0</v>
      </c>
      <c r="E65" s="4">
        <v>6664.0</v>
      </c>
      <c r="F65" s="4">
        <v>4148.0</v>
      </c>
    </row>
    <row r="66">
      <c r="A66" s="2" t="s">
        <v>111</v>
      </c>
      <c r="B66" s="4">
        <v>147.0</v>
      </c>
      <c r="C66" s="4">
        <v>13504.0</v>
      </c>
      <c r="D66" s="4">
        <v>2571.0</v>
      </c>
      <c r="E66" s="4">
        <v>6492.0</v>
      </c>
      <c r="F66" s="4">
        <v>4089.0</v>
      </c>
    </row>
    <row r="67">
      <c r="A67" s="2" t="s">
        <v>104</v>
      </c>
      <c r="B67" s="4">
        <v>1733.0</v>
      </c>
      <c r="C67" s="4">
        <v>1279456.0</v>
      </c>
      <c r="D67" s="4">
        <v>33915.0</v>
      </c>
      <c r="E67" s="4">
        <v>93245.0</v>
      </c>
      <c r="F67" s="4">
        <v>46033.0</v>
      </c>
    </row>
    <row r="68">
      <c r="A68" s="2" t="s">
        <v>106</v>
      </c>
      <c r="B68" s="4">
        <v>1731.0</v>
      </c>
      <c r="C68" s="4">
        <v>1279494.0</v>
      </c>
      <c r="D68" s="4">
        <v>33923.0</v>
      </c>
      <c r="E68" s="4">
        <v>92878.0</v>
      </c>
      <c r="F68" s="4">
        <v>46003.0</v>
      </c>
    </row>
    <row r="69">
      <c r="A69" s="2" t="s">
        <v>113</v>
      </c>
      <c r="B69" s="4">
        <v>1763.0</v>
      </c>
      <c r="C69" s="4">
        <v>1323634.0</v>
      </c>
      <c r="D69" s="4">
        <v>37809.0</v>
      </c>
      <c r="E69" s="4">
        <v>94144.0</v>
      </c>
      <c r="F69" s="4">
        <v>46715.0</v>
      </c>
    </row>
    <row r="70">
      <c r="A70" s="2" t="s">
        <v>119</v>
      </c>
      <c r="B70" s="4">
        <v>15.0</v>
      </c>
      <c r="C70" s="4">
        <v>334.0</v>
      </c>
      <c r="D70" s="4">
        <v>255.0</v>
      </c>
      <c r="E70" s="4">
        <v>494.0</v>
      </c>
      <c r="F70" s="4">
        <v>427.0</v>
      </c>
    </row>
    <row r="71">
      <c r="A71" s="2" t="s">
        <v>121</v>
      </c>
      <c r="B71" s="4">
        <v>19.0</v>
      </c>
      <c r="C71" s="4">
        <v>421.0</v>
      </c>
      <c r="D71" s="4">
        <v>314.0</v>
      </c>
      <c r="E71" s="4">
        <v>589.0</v>
      </c>
      <c r="F71" s="4">
        <v>502.0</v>
      </c>
    </row>
    <row r="72">
      <c r="A72" s="2" t="s">
        <v>117</v>
      </c>
      <c r="B72" s="4">
        <v>68.0</v>
      </c>
      <c r="C72" s="4">
        <v>4134.0</v>
      </c>
      <c r="D72" s="4">
        <v>1270.0</v>
      </c>
      <c r="E72" s="4">
        <v>2747.0</v>
      </c>
      <c r="F72" s="4">
        <v>2051.0</v>
      </c>
    </row>
    <row r="73">
      <c r="A73" s="2" t="s">
        <v>114</v>
      </c>
      <c r="B73" s="4">
        <v>1.0</v>
      </c>
      <c r="C73" s="4">
        <v>11.0</v>
      </c>
      <c r="D73" s="4">
        <v>16.0</v>
      </c>
      <c r="E73" s="4">
        <v>13.0</v>
      </c>
      <c r="F73" s="4">
        <v>14.0</v>
      </c>
    </row>
    <row r="74">
      <c r="A74" s="2" t="s">
        <v>116</v>
      </c>
      <c r="B74" s="4">
        <v>7.0</v>
      </c>
      <c r="C74" s="4">
        <v>81.0</v>
      </c>
      <c r="D74" s="4">
        <v>103.0</v>
      </c>
      <c r="E74" s="4">
        <v>215.0</v>
      </c>
      <c r="F74" s="4">
        <v>160.0</v>
      </c>
    </row>
    <row r="75">
      <c r="A75" s="2" t="s">
        <v>115</v>
      </c>
      <c r="B75" s="4">
        <v>12.0</v>
      </c>
      <c r="C75" s="4">
        <v>170.0</v>
      </c>
      <c r="D75" s="4">
        <v>172.0</v>
      </c>
      <c r="E75" s="4">
        <v>370.0</v>
      </c>
      <c r="F75" s="4">
        <v>279.0</v>
      </c>
    </row>
    <row r="76">
      <c r="A76" s="2" t="s">
        <v>118</v>
      </c>
      <c r="B76" s="4">
        <v>42.0</v>
      </c>
      <c r="C76" s="4">
        <v>1170.0</v>
      </c>
      <c r="D76" s="4">
        <v>636.0</v>
      </c>
      <c r="E76" s="4">
        <v>1602.0</v>
      </c>
      <c r="F76" s="4">
        <v>1102.0</v>
      </c>
    </row>
    <row r="77">
      <c r="A77" s="2" t="s">
        <v>122</v>
      </c>
      <c r="B77" s="4">
        <v>18.0</v>
      </c>
      <c r="C77" s="4">
        <v>310.0</v>
      </c>
      <c r="D77" s="4">
        <v>275.0</v>
      </c>
      <c r="E77" s="4">
        <v>645.0</v>
      </c>
      <c r="F77" s="4">
        <v>469.0</v>
      </c>
    </row>
    <row r="78">
      <c r="A78" s="2" t="s">
        <v>120</v>
      </c>
      <c r="B78" s="4">
        <v>1.0</v>
      </c>
      <c r="C78" s="4">
        <v>11.0</v>
      </c>
      <c r="D78" s="4">
        <v>16.0</v>
      </c>
      <c r="E78" s="4">
        <v>13.0</v>
      </c>
      <c r="F78" s="4">
        <v>14.0</v>
      </c>
    </row>
    <row r="79">
      <c r="A79" s="2" t="s">
        <v>123</v>
      </c>
      <c r="B79" s="4">
        <v>114.0</v>
      </c>
      <c r="C79" s="4">
        <v>9947.0</v>
      </c>
      <c r="D79" s="4">
        <v>2921.0</v>
      </c>
      <c r="E79" s="4">
        <v>4484.0</v>
      </c>
      <c r="F79" s="4">
        <v>3188.0</v>
      </c>
    </row>
    <row r="80">
      <c r="A80" s="2" t="s">
        <v>129</v>
      </c>
      <c r="B80" s="4">
        <v>334.0</v>
      </c>
      <c r="C80" s="4">
        <v>79257.0</v>
      </c>
      <c r="D80" s="4">
        <v>15261.0</v>
      </c>
      <c r="E80" s="4">
        <v>15875.0</v>
      </c>
      <c r="F80" s="4">
        <v>9388.0</v>
      </c>
    </row>
    <row r="81">
      <c r="A81" s="2" t="s">
        <v>126</v>
      </c>
      <c r="B81" s="4">
        <v>1104.0</v>
      </c>
      <c r="C81" s="4">
        <v>841592.0</v>
      </c>
      <c r="D81" s="4">
        <v>127751.0</v>
      </c>
      <c r="E81" s="4">
        <v>67087.0</v>
      </c>
      <c r="F81" s="4">
        <v>31088.0</v>
      </c>
    </row>
    <row r="82">
      <c r="A82" s="2" t="s">
        <v>132</v>
      </c>
      <c r="B82" s="4">
        <v>16.0</v>
      </c>
      <c r="C82" s="4">
        <v>250.0</v>
      </c>
      <c r="D82" s="4">
        <v>211.0</v>
      </c>
      <c r="E82" s="4">
        <v>364.0</v>
      </c>
      <c r="F82" s="4">
        <v>328.0</v>
      </c>
    </row>
    <row r="83">
      <c r="A83" s="2" t="s">
        <v>131</v>
      </c>
      <c r="B83" s="4">
        <v>509.0</v>
      </c>
      <c r="C83" s="4">
        <v>26612.0</v>
      </c>
      <c r="D83" s="4">
        <v>16744.0</v>
      </c>
      <c r="E83" s="4">
        <v>25093.0</v>
      </c>
      <c r="F83" s="4">
        <v>9367.0</v>
      </c>
    </row>
    <row r="84">
      <c r="A84" s="2" t="s">
        <v>128</v>
      </c>
      <c r="B84" s="4">
        <v>54.0</v>
      </c>
      <c r="C84" s="4">
        <v>1095.0</v>
      </c>
      <c r="D84" s="4">
        <v>867.0</v>
      </c>
      <c r="E84" s="4">
        <v>2381.0</v>
      </c>
      <c r="F84" s="4">
        <v>1251.0</v>
      </c>
    </row>
    <row r="85">
      <c r="A85" s="2" t="s">
        <v>127</v>
      </c>
      <c r="B85" s="4">
        <v>530.0</v>
      </c>
      <c r="C85" s="4">
        <v>45111.0</v>
      </c>
      <c r="D85" s="4">
        <v>25763.0</v>
      </c>
      <c r="E85" s="4">
        <v>28130.0</v>
      </c>
      <c r="F85" s="4">
        <v>12380.0</v>
      </c>
    </row>
    <row r="86">
      <c r="A86" s="2" t="s">
        <v>125</v>
      </c>
      <c r="B86" s="4">
        <v>4590.0</v>
      </c>
      <c r="C86" s="4">
        <v>2491254.0</v>
      </c>
      <c r="D86" s="4">
        <v>1893475.0</v>
      </c>
      <c r="E86" s="4">
        <v>451097.0</v>
      </c>
      <c r="F86" s="4">
        <v>105617.0</v>
      </c>
    </row>
    <row r="87">
      <c r="A87" s="2" t="s">
        <v>130</v>
      </c>
      <c r="B87" s="4">
        <v>157.0</v>
      </c>
      <c r="C87" s="4">
        <v>20214.0</v>
      </c>
      <c r="D87" s="4">
        <v>2669.0</v>
      </c>
      <c r="E87" s="4">
        <v>6773.0</v>
      </c>
      <c r="F87" s="4">
        <v>4616.0</v>
      </c>
    </row>
    <row r="88">
      <c r="A88" s="2" t="s">
        <v>124</v>
      </c>
      <c r="B88" s="4">
        <v>521.0</v>
      </c>
      <c r="C88" s="4">
        <v>209312.0</v>
      </c>
      <c r="D88" s="4">
        <v>8857.0</v>
      </c>
      <c r="E88" s="4">
        <v>27779.0</v>
      </c>
      <c r="F88" s="4">
        <v>15354.0</v>
      </c>
    </row>
    <row r="89">
      <c r="A89" s="2" t="s">
        <v>141</v>
      </c>
      <c r="B89" s="4">
        <v>3304.0</v>
      </c>
      <c r="C89" s="4">
        <v>7474692.0</v>
      </c>
      <c r="D89" s="4">
        <v>1043151.0</v>
      </c>
      <c r="E89" s="4">
        <v>272577.0</v>
      </c>
      <c r="F89" s="4">
        <v>93088.0</v>
      </c>
    </row>
    <row r="90">
      <c r="A90" s="2" t="s">
        <v>133</v>
      </c>
      <c r="B90" s="4">
        <v>11004.0</v>
      </c>
      <c r="C90" s="4" t="s">
        <v>28</v>
      </c>
      <c r="D90" s="4">
        <v>1.1177051E7</v>
      </c>
      <c r="E90" s="4">
        <v>1363257.0</v>
      </c>
      <c r="F90" s="4">
        <v>310088.0</v>
      </c>
    </row>
    <row r="91">
      <c r="A91" s="2" t="s">
        <v>135</v>
      </c>
      <c r="B91" s="4">
        <v>33004.0</v>
      </c>
      <c r="C91" s="4" t="s">
        <v>28</v>
      </c>
      <c r="D91" s="4" t="s">
        <v>28</v>
      </c>
      <c r="E91" s="4">
        <v>6320569.0</v>
      </c>
      <c r="F91" s="4">
        <v>930088.0</v>
      </c>
    </row>
    <row r="92">
      <c r="A92" s="2" t="s">
        <v>138</v>
      </c>
      <c r="B92" s="4">
        <v>21992.0</v>
      </c>
      <c r="C92" s="4">
        <v>1.9426432E7</v>
      </c>
      <c r="D92" s="4">
        <v>2.0499266E7</v>
      </c>
      <c r="E92" s="4">
        <v>2256279.0</v>
      </c>
      <c r="F92" s="4">
        <v>372241.0</v>
      </c>
    </row>
    <row r="93">
      <c r="A93" s="2" t="s">
        <v>136</v>
      </c>
      <c r="B93" s="4">
        <v>629042.0</v>
      </c>
      <c r="C93" s="4" t="s">
        <v>28</v>
      </c>
      <c r="D93" s="4" t="s">
        <v>28</v>
      </c>
      <c r="E93" s="4" t="s">
        <v>28</v>
      </c>
      <c r="F93" s="4">
        <v>1.0538686E7</v>
      </c>
    </row>
    <row r="94">
      <c r="A94" s="2" t="s">
        <v>140</v>
      </c>
      <c r="B94" s="4">
        <v>50300.0</v>
      </c>
      <c r="C94" s="4" t="s">
        <v>28</v>
      </c>
      <c r="D94" s="4" t="s">
        <v>28</v>
      </c>
      <c r="E94" s="4">
        <v>1.1982983E7</v>
      </c>
      <c r="F94" s="4">
        <v>1945716.0</v>
      </c>
    </row>
    <row r="95">
      <c r="A95" s="2" t="s">
        <v>139</v>
      </c>
      <c r="B95" s="4">
        <v>1561.0</v>
      </c>
      <c r="C95" s="4">
        <v>1844712.0</v>
      </c>
      <c r="D95" s="4">
        <v>26537.0</v>
      </c>
      <c r="E95" s="4">
        <v>108456.0</v>
      </c>
      <c r="F95" s="4">
        <v>46034.0</v>
      </c>
    </row>
    <row r="96">
      <c r="A96" s="2" t="s">
        <v>134</v>
      </c>
      <c r="B96" s="4">
        <v>5201.0</v>
      </c>
      <c r="C96" s="4">
        <v>2.0345012E7</v>
      </c>
      <c r="D96" s="4">
        <v>88417.0</v>
      </c>
      <c r="E96" s="4">
        <v>520047.0</v>
      </c>
      <c r="F96" s="4">
        <v>153414.0</v>
      </c>
    </row>
    <row r="97">
      <c r="A97" s="2" t="s">
        <v>137</v>
      </c>
      <c r="B97" s="4">
        <v>15601.0</v>
      </c>
      <c r="C97" s="4" t="s">
        <v>28</v>
      </c>
      <c r="D97" s="4">
        <v>265217.0</v>
      </c>
      <c r="E97" s="4">
        <v>2341141.0</v>
      </c>
      <c r="F97" s="4">
        <v>460214.0</v>
      </c>
    </row>
    <row r="98">
      <c r="A98" s="2"/>
      <c r="B98" s="4"/>
      <c r="C98" s="4"/>
      <c r="D98" s="4"/>
      <c r="E98" s="4"/>
      <c r="F98" s="4"/>
    </row>
    <row r="99">
      <c r="A99" s="2"/>
      <c r="B99" s="4"/>
      <c r="C99" s="4"/>
      <c r="D99" s="4"/>
      <c r="E99" s="4"/>
      <c r="F99" s="4"/>
    </row>
    <row r="100">
      <c r="A100" s="2"/>
      <c r="B100" s="4"/>
      <c r="C100" s="4"/>
      <c r="D100" s="4"/>
      <c r="E100" s="4"/>
      <c r="F100" s="4"/>
    </row>
    <row r="101">
      <c r="A101" s="2"/>
      <c r="B101" s="4"/>
      <c r="C101" s="4"/>
      <c r="D101" s="4"/>
      <c r="E101" s="4"/>
      <c r="F101" s="4"/>
    </row>
    <row r="102">
      <c r="A102" s="2"/>
      <c r="B102" s="4"/>
      <c r="C102" s="4"/>
      <c r="D102" s="4"/>
      <c r="E102" s="4"/>
      <c r="F102" s="4"/>
    </row>
    <row r="103">
      <c r="A103" s="2"/>
      <c r="B103" s="4"/>
      <c r="C103" s="4"/>
      <c r="D103" s="4"/>
      <c r="E103" s="4"/>
      <c r="F103" s="4"/>
    </row>
    <row r="104">
      <c r="A104" s="2"/>
      <c r="B104" s="4"/>
      <c r="C104" s="4"/>
      <c r="D104" s="4"/>
      <c r="E104" s="4"/>
      <c r="F104" s="4"/>
    </row>
    <row r="105">
      <c r="A105" s="2"/>
      <c r="B105" s="4"/>
      <c r="C105" s="4"/>
      <c r="D105" s="4"/>
      <c r="E105" s="4"/>
      <c r="F105" s="4"/>
    </row>
    <row r="106">
      <c r="A106" s="2"/>
      <c r="B106" s="4"/>
      <c r="C106" s="4"/>
      <c r="D106" s="4"/>
      <c r="E106" s="4"/>
      <c r="F106" s="4"/>
    </row>
    <row r="107">
      <c r="A107" s="2"/>
      <c r="B107" s="4"/>
      <c r="C107" s="4"/>
      <c r="D107" s="4"/>
      <c r="E107" s="4"/>
      <c r="F107" s="4"/>
    </row>
    <row r="108">
      <c r="A108" s="2"/>
      <c r="B108" s="4"/>
      <c r="C108" s="4"/>
      <c r="D108" s="4"/>
      <c r="E108" s="4"/>
      <c r="F108" s="4"/>
    </row>
    <row r="109">
      <c r="A109" s="2"/>
      <c r="B109" s="4"/>
      <c r="C109" s="4"/>
      <c r="D109" s="4"/>
      <c r="E109" s="4"/>
      <c r="F109" s="4"/>
    </row>
    <row r="110">
      <c r="A110" s="2"/>
      <c r="B110" s="4"/>
      <c r="C110" s="4"/>
      <c r="D110" s="4"/>
      <c r="E110" s="4"/>
      <c r="F110" s="4"/>
    </row>
    <row r="111">
      <c r="A111" s="2"/>
      <c r="B111" s="4"/>
      <c r="C111" s="4"/>
      <c r="D111" s="4"/>
      <c r="E111" s="4"/>
      <c r="F111" s="4"/>
    </row>
    <row r="112">
      <c r="A112" s="2"/>
      <c r="B112" s="4"/>
      <c r="C112" s="4"/>
      <c r="D112" s="4"/>
      <c r="E112" s="4"/>
      <c r="F112" s="4"/>
    </row>
    <row r="113">
      <c r="A113" s="2"/>
      <c r="B113" s="4"/>
      <c r="C113" s="4"/>
      <c r="D113" s="4"/>
      <c r="E113" s="4"/>
      <c r="F113" s="4"/>
    </row>
    <row r="114">
      <c r="A114" s="2"/>
      <c r="B114" s="4"/>
      <c r="C114" s="4"/>
      <c r="D114" s="4"/>
      <c r="E114" s="4"/>
      <c r="F114" s="4"/>
    </row>
    <row r="115">
      <c r="A115" s="2"/>
      <c r="B115" s="4"/>
      <c r="C115" s="4"/>
      <c r="D115" s="4"/>
      <c r="E115" s="4"/>
      <c r="F115" s="4"/>
    </row>
    <row r="116">
      <c r="A116" s="2"/>
      <c r="B116" s="4"/>
      <c r="C116" s="4"/>
      <c r="D116" s="4"/>
      <c r="E116" s="4"/>
      <c r="F116" s="4"/>
    </row>
    <row r="117">
      <c r="A117" s="2"/>
      <c r="B117" s="4"/>
      <c r="C117" s="4"/>
      <c r="D117" s="4"/>
      <c r="E117" s="4"/>
      <c r="F117" s="4"/>
    </row>
    <row r="118">
      <c r="A118" s="2"/>
      <c r="B118" s="4"/>
      <c r="C118" s="4"/>
      <c r="D118" s="4"/>
      <c r="E118" s="4"/>
      <c r="F118" s="4"/>
    </row>
    <row r="119">
      <c r="A119" s="2"/>
      <c r="B119" s="4"/>
      <c r="C119" s="4"/>
      <c r="D119" s="4"/>
      <c r="E119" s="4"/>
      <c r="F119" s="4"/>
    </row>
    <row r="120">
      <c r="A120" s="2"/>
      <c r="B120" s="4"/>
      <c r="C120" s="4"/>
      <c r="D120" s="4"/>
      <c r="E120" s="4"/>
      <c r="F120" s="4"/>
    </row>
    <row r="121">
      <c r="A121" s="2"/>
      <c r="B121" s="4"/>
      <c r="C121" s="4"/>
      <c r="D121" s="4"/>
      <c r="E121" s="4"/>
      <c r="F121" s="4"/>
    </row>
    <row r="122">
      <c r="A122" s="2"/>
      <c r="B122" s="4"/>
      <c r="C122" s="4"/>
      <c r="D122" s="4"/>
      <c r="E122" s="4"/>
      <c r="F122" s="4"/>
    </row>
    <row r="123">
      <c r="A123" s="2"/>
      <c r="B123" s="4"/>
      <c r="C123" s="4"/>
      <c r="D123" s="4"/>
      <c r="E123" s="4"/>
      <c r="F123" s="4"/>
    </row>
    <row r="124">
      <c r="A124" s="2"/>
      <c r="B124" s="4"/>
      <c r="C124" s="4"/>
      <c r="D124" s="4"/>
      <c r="E124" s="4"/>
      <c r="F124" s="4"/>
    </row>
    <row r="125">
      <c r="A125" s="2"/>
      <c r="B125" s="4"/>
      <c r="C125" s="4"/>
      <c r="D125" s="4"/>
      <c r="E125" s="4"/>
      <c r="F125" s="4"/>
    </row>
    <row r="126">
      <c r="A126" s="2"/>
      <c r="B126" s="4"/>
      <c r="C126" s="4"/>
      <c r="D126" s="4"/>
      <c r="E126" s="4"/>
      <c r="F126" s="4"/>
    </row>
    <row r="127">
      <c r="A127" s="2"/>
      <c r="B127" s="4"/>
      <c r="C127" s="4"/>
      <c r="D127" s="4"/>
      <c r="E127" s="4"/>
      <c r="F127" s="4"/>
    </row>
    <row r="128">
      <c r="A128" s="2"/>
      <c r="B128" s="4"/>
      <c r="C128" s="4"/>
      <c r="D128" s="4"/>
      <c r="E128" s="4"/>
      <c r="F128" s="4"/>
    </row>
    <row r="129">
      <c r="A129" s="2"/>
      <c r="B129" s="4"/>
      <c r="C129" s="4"/>
      <c r="D129" s="4"/>
      <c r="E129" s="4"/>
      <c r="F129" s="4"/>
    </row>
    <row r="130">
      <c r="A130" s="2"/>
      <c r="B130" s="4"/>
      <c r="C130" s="4"/>
      <c r="D130" s="4"/>
      <c r="E130" s="4"/>
      <c r="F130" s="4"/>
    </row>
    <row r="131">
      <c r="A131" s="2"/>
      <c r="B131" s="4"/>
      <c r="C131" s="4"/>
      <c r="D131" s="4"/>
      <c r="E131" s="4"/>
      <c r="F131" s="4"/>
    </row>
    <row r="132">
      <c r="A132" s="2"/>
      <c r="B132" s="4"/>
      <c r="C132" s="4"/>
      <c r="D132" s="4"/>
      <c r="E132" s="4"/>
      <c r="F132" s="4"/>
    </row>
    <row r="133">
      <c r="A133" s="2"/>
      <c r="B133" s="4"/>
      <c r="C133" s="4"/>
      <c r="D133" s="4"/>
      <c r="E133" s="4"/>
      <c r="F133" s="4"/>
    </row>
    <row r="134">
      <c r="A134" s="2"/>
      <c r="B134" s="4"/>
      <c r="C134" s="4"/>
      <c r="D134" s="4"/>
      <c r="E134" s="4"/>
      <c r="F134" s="4"/>
    </row>
    <row r="135">
      <c r="A135" s="2"/>
      <c r="B135" s="4"/>
      <c r="C135" s="4"/>
      <c r="D135" s="4"/>
      <c r="E135" s="4"/>
      <c r="F135" s="4"/>
    </row>
    <row r="136">
      <c r="A136" s="2"/>
      <c r="B136" s="4"/>
      <c r="C136" s="4"/>
      <c r="D136" s="4"/>
      <c r="E136" s="4"/>
      <c r="F136" s="4"/>
    </row>
    <row r="137">
      <c r="A137" s="2"/>
      <c r="B137" s="4"/>
      <c r="C137" s="4"/>
      <c r="D137" s="4"/>
      <c r="E137" s="4"/>
      <c r="F137" s="4"/>
    </row>
    <row r="138">
      <c r="A138" s="2"/>
      <c r="B138" s="4"/>
      <c r="C138" s="4"/>
      <c r="D138" s="4"/>
      <c r="E138" s="4"/>
      <c r="F138" s="4"/>
    </row>
    <row r="139">
      <c r="A139" s="2"/>
      <c r="B139" s="4"/>
      <c r="C139" s="4"/>
      <c r="D139" s="4"/>
      <c r="E139" s="4"/>
      <c r="F139" s="4"/>
    </row>
    <row r="140">
      <c r="A140" s="2"/>
      <c r="B140" s="4"/>
      <c r="C140" s="4"/>
      <c r="D140" s="4"/>
      <c r="E140" s="4"/>
      <c r="F140" s="4"/>
    </row>
    <row r="141">
      <c r="A141" s="2"/>
      <c r="B141" s="4"/>
      <c r="C141" s="4"/>
      <c r="D141" s="4"/>
      <c r="E141" s="4"/>
      <c r="F141" s="4"/>
    </row>
    <row r="142">
      <c r="A142" s="2"/>
      <c r="B142" s="4"/>
      <c r="C142" s="4"/>
      <c r="D142" s="4"/>
      <c r="E142" s="4"/>
      <c r="F142" s="4"/>
    </row>
    <row r="143">
      <c r="A143" s="2"/>
      <c r="B143" s="4"/>
      <c r="C143" s="4"/>
      <c r="D143" s="4"/>
      <c r="E143" s="4"/>
      <c r="F143" s="4"/>
    </row>
    <row r="144">
      <c r="A144" s="2"/>
      <c r="B144" s="4"/>
      <c r="C144" s="4"/>
      <c r="D144" s="4"/>
      <c r="E144" s="4"/>
      <c r="F144" s="4"/>
    </row>
    <row r="145">
      <c r="A145" s="2"/>
      <c r="B145" s="4"/>
      <c r="C145" s="4"/>
      <c r="D145" s="4"/>
      <c r="E145" s="4"/>
      <c r="F145" s="4"/>
    </row>
    <row r="146">
      <c r="A146" s="2"/>
      <c r="B146" s="4"/>
      <c r="C146" s="4"/>
      <c r="D146" s="4"/>
      <c r="E146" s="4"/>
      <c r="F146" s="4"/>
    </row>
    <row r="147">
      <c r="A147" s="2"/>
      <c r="B147" s="4"/>
      <c r="C147" s="4"/>
      <c r="D147" s="4"/>
      <c r="E147" s="4"/>
      <c r="F147" s="4"/>
    </row>
    <row r="148">
      <c r="A148" s="2"/>
      <c r="B148" s="4"/>
      <c r="C148" s="4"/>
      <c r="D148" s="4"/>
      <c r="E148" s="4"/>
      <c r="F148" s="4"/>
    </row>
    <row r="149">
      <c r="A149" s="2"/>
      <c r="B149" s="4"/>
      <c r="C149" s="4"/>
      <c r="D149" s="4"/>
      <c r="E149" s="4"/>
      <c r="F149" s="4"/>
    </row>
    <row r="150">
      <c r="A150" s="2"/>
      <c r="B150" s="4"/>
      <c r="C150" s="4"/>
      <c r="D150" s="4"/>
      <c r="E150" s="4"/>
      <c r="F150" s="4"/>
    </row>
    <row r="151">
      <c r="A151" s="2"/>
      <c r="B151" s="4"/>
      <c r="C151" s="4"/>
      <c r="D151" s="4"/>
      <c r="E151" s="4"/>
      <c r="F151" s="4"/>
    </row>
    <row r="152">
      <c r="A152" s="2"/>
      <c r="B152" s="4"/>
      <c r="C152" s="4"/>
      <c r="D152" s="4"/>
      <c r="E152" s="4"/>
      <c r="F152" s="4"/>
    </row>
    <row r="153">
      <c r="A153" s="2"/>
      <c r="B153" s="4"/>
      <c r="C153" s="4"/>
      <c r="D153" s="4"/>
      <c r="E153" s="4"/>
      <c r="F153" s="4"/>
    </row>
    <row r="154">
      <c r="A154" s="2"/>
      <c r="B154" s="4"/>
      <c r="C154" s="4"/>
      <c r="D154" s="4"/>
      <c r="E154" s="4"/>
      <c r="F154" s="4"/>
    </row>
    <row r="155">
      <c r="A155" s="2"/>
      <c r="B155" s="4"/>
      <c r="C155" s="4"/>
      <c r="D155" s="4"/>
      <c r="E155" s="4"/>
      <c r="F155" s="4"/>
    </row>
    <row r="156">
      <c r="A156" s="2"/>
      <c r="B156" s="4"/>
      <c r="C156" s="4"/>
      <c r="D156" s="4"/>
      <c r="E156" s="4"/>
      <c r="F156" s="4"/>
    </row>
    <row r="157">
      <c r="A157" s="2"/>
      <c r="B157" s="4"/>
      <c r="C157" s="4"/>
      <c r="D157" s="4"/>
      <c r="E157" s="4"/>
      <c r="F157" s="4"/>
    </row>
    <row r="158">
      <c r="A158" s="2"/>
      <c r="B158" s="4"/>
      <c r="C158" s="4"/>
      <c r="D158" s="4"/>
      <c r="E158" s="4"/>
      <c r="F158" s="4"/>
    </row>
    <row r="159">
      <c r="A159" s="2"/>
      <c r="B159" s="4"/>
      <c r="C159" s="4"/>
      <c r="D159" s="4"/>
      <c r="E159" s="4"/>
      <c r="F159" s="4"/>
    </row>
    <row r="160">
      <c r="A160" s="2"/>
      <c r="B160" s="4"/>
      <c r="C160" s="4"/>
      <c r="D160" s="4"/>
      <c r="E160" s="4"/>
      <c r="F160" s="4"/>
    </row>
    <row r="161">
      <c r="A161" s="2"/>
      <c r="B161" s="4"/>
      <c r="C161" s="4"/>
      <c r="D161" s="4"/>
      <c r="E161" s="4"/>
      <c r="F161" s="4"/>
    </row>
    <row r="162">
      <c r="A162" s="2"/>
      <c r="B162" s="4"/>
      <c r="C162" s="4"/>
      <c r="D162" s="4"/>
      <c r="E162" s="4"/>
      <c r="F162" s="4"/>
    </row>
    <row r="163">
      <c r="A163" s="2"/>
      <c r="B163" s="4"/>
      <c r="C163" s="4"/>
      <c r="D163" s="4"/>
      <c r="E163" s="4"/>
      <c r="F163" s="4"/>
    </row>
    <row r="164">
      <c r="A164" s="2"/>
      <c r="B164" s="4"/>
      <c r="C164" s="4"/>
      <c r="D164" s="4"/>
      <c r="E164" s="4"/>
      <c r="F164" s="4"/>
    </row>
    <row r="165">
      <c r="A165" s="2"/>
      <c r="B165" s="4"/>
      <c r="C165" s="4"/>
      <c r="D165" s="4"/>
      <c r="E165" s="4"/>
      <c r="F165" s="4"/>
    </row>
    <row r="166">
      <c r="A166" s="2"/>
      <c r="B166" s="4"/>
      <c r="C166" s="4"/>
      <c r="D166" s="4"/>
      <c r="E166" s="4"/>
      <c r="F166" s="4"/>
    </row>
    <row r="167">
      <c r="A167" s="2"/>
      <c r="B167" s="4"/>
      <c r="C167" s="4"/>
      <c r="D167" s="4"/>
      <c r="E167" s="4"/>
      <c r="F167" s="4"/>
    </row>
    <row r="168">
      <c r="A168" s="2"/>
      <c r="B168" s="4"/>
      <c r="C168" s="4"/>
      <c r="D168" s="4"/>
      <c r="E168" s="4"/>
      <c r="F168" s="4"/>
    </row>
    <row r="169">
      <c r="A169" s="2"/>
      <c r="B169" s="4"/>
      <c r="C169" s="4"/>
      <c r="D169" s="4"/>
      <c r="E169" s="4"/>
      <c r="F169" s="4"/>
    </row>
    <row r="170">
      <c r="A170" s="2"/>
      <c r="B170" s="4"/>
      <c r="C170" s="4"/>
      <c r="D170" s="4"/>
      <c r="E170" s="4"/>
      <c r="F170" s="4"/>
    </row>
    <row r="171">
      <c r="A171" s="2"/>
      <c r="B171" s="4"/>
      <c r="C171" s="4"/>
      <c r="D171" s="4"/>
      <c r="E171" s="4"/>
      <c r="F171" s="4"/>
    </row>
    <row r="172">
      <c r="A172" s="2"/>
      <c r="B172" s="4"/>
      <c r="C172" s="4"/>
      <c r="D172" s="4"/>
      <c r="E172" s="4"/>
      <c r="F172" s="4"/>
    </row>
    <row r="173">
      <c r="A173" s="2"/>
      <c r="B173" s="4"/>
      <c r="C173" s="4"/>
      <c r="D173" s="4"/>
      <c r="E173" s="4"/>
      <c r="F173" s="4"/>
    </row>
    <row r="174">
      <c r="A174" s="2"/>
      <c r="B174" s="4"/>
      <c r="C174" s="4"/>
      <c r="D174" s="4"/>
      <c r="E174" s="4"/>
      <c r="F174" s="4"/>
    </row>
    <row r="175">
      <c r="A175" s="2"/>
      <c r="B175" s="4"/>
      <c r="C175" s="4"/>
      <c r="D175" s="4"/>
      <c r="E175" s="4"/>
      <c r="F175" s="4"/>
    </row>
    <row r="176">
      <c r="A176" s="2"/>
      <c r="B176" s="4"/>
      <c r="C176" s="4"/>
      <c r="D176" s="4"/>
      <c r="E176" s="4"/>
      <c r="F176" s="4"/>
    </row>
    <row r="177">
      <c r="A177" s="2"/>
      <c r="B177" s="4"/>
      <c r="C177" s="4"/>
      <c r="D177" s="4"/>
      <c r="E177" s="4"/>
      <c r="F177" s="4"/>
    </row>
    <row r="178">
      <c r="A178" s="2"/>
      <c r="B178" s="4"/>
      <c r="C178" s="4"/>
      <c r="D178" s="4"/>
      <c r="E178" s="4"/>
      <c r="F178" s="4"/>
    </row>
    <row r="179">
      <c r="A179" s="2"/>
      <c r="B179" s="4"/>
      <c r="C179" s="4"/>
      <c r="D179" s="4"/>
      <c r="E179" s="4"/>
      <c r="F179" s="4"/>
    </row>
    <row r="180">
      <c r="A180" s="2"/>
      <c r="B180" s="4"/>
      <c r="C180" s="4"/>
      <c r="D180" s="4"/>
      <c r="E180" s="4"/>
      <c r="F180" s="4"/>
    </row>
    <row r="181">
      <c r="A181" s="2"/>
      <c r="B181" s="4"/>
      <c r="C181" s="4"/>
      <c r="D181" s="4"/>
      <c r="E181" s="4"/>
      <c r="F181" s="4"/>
    </row>
    <row r="182">
      <c r="A182" s="2"/>
      <c r="B182" s="4"/>
      <c r="C182" s="4"/>
      <c r="D182" s="4"/>
      <c r="E182" s="4"/>
      <c r="F182" s="4"/>
    </row>
    <row r="183">
      <c r="A183" s="2"/>
      <c r="B183" s="4"/>
      <c r="C183" s="4"/>
      <c r="D183" s="4"/>
      <c r="E183" s="4"/>
      <c r="F183" s="4"/>
    </row>
    <row r="184">
      <c r="A184" s="2"/>
      <c r="B184" s="4"/>
      <c r="C184" s="4"/>
      <c r="D184" s="4"/>
      <c r="E184" s="4"/>
      <c r="F184" s="4"/>
    </row>
    <row r="185">
      <c r="A185" s="2"/>
      <c r="B185" s="4"/>
      <c r="C185" s="4"/>
      <c r="D185" s="4"/>
      <c r="E185" s="4"/>
      <c r="F185" s="4"/>
    </row>
    <row r="186">
      <c r="A186" s="2"/>
      <c r="B186" s="4"/>
      <c r="C186" s="4"/>
      <c r="D186" s="4"/>
      <c r="E186" s="4"/>
      <c r="F186" s="4"/>
    </row>
    <row r="187">
      <c r="A187" s="2"/>
      <c r="B187" s="4"/>
      <c r="C187" s="4"/>
      <c r="D187" s="4"/>
      <c r="E187" s="4"/>
      <c r="F187" s="4"/>
    </row>
    <row r="188">
      <c r="A188" s="2"/>
      <c r="B188" s="4"/>
      <c r="C188" s="4"/>
      <c r="D188" s="4"/>
      <c r="E188" s="4"/>
      <c r="F188" s="4"/>
    </row>
    <row r="189">
      <c r="A189" s="2"/>
      <c r="B189" s="4"/>
      <c r="C189" s="4"/>
      <c r="D189" s="4"/>
      <c r="E189" s="4"/>
      <c r="F189" s="4"/>
    </row>
    <row r="190">
      <c r="A190" s="2"/>
      <c r="B190" s="4"/>
      <c r="C190" s="4"/>
      <c r="D190" s="4"/>
      <c r="E190" s="4"/>
      <c r="F190" s="4"/>
    </row>
    <row r="191">
      <c r="A191" s="2"/>
      <c r="B191" s="4"/>
      <c r="C191" s="4"/>
      <c r="D191" s="4"/>
      <c r="E191" s="4"/>
      <c r="F191" s="4"/>
    </row>
    <row r="192">
      <c r="A192" s="2"/>
      <c r="B192" s="4"/>
      <c r="C192" s="4"/>
      <c r="D192" s="4"/>
      <c r="E192" s="4"/>
      <c r="F192" s="4"/>
    </row>
    <row r="193">
      <c r="A193" s="2"/>
      <c r="B193" s="4"/>
      <c r="C193" s="4"/>
      <c r="D193" s="4"/>
      <c r="E193" s="4"/>
      <c r="F193" s="4"/>
    </row>
    <row r="194">
      <c r="A194" s="2"/>
      <c r="B194" s="4"/>
      <c r="C194" s="4"/>
      <c r="D194" s="4"/>
      <c r="E194" s="4"/>
      <c r="F194" s="4"/>
    </row>
    <row r="195">
      <c r="A195" s="2"/>
      <c r="B195" s="4"/>
      <c r="C195" s="4"/>
      <c r="D195" s="4"/>
      <c r="E195" s="4"/>
      <c r="F195" s="4"/>
    </row>
    <row r="196">
      <c r="A196" s="2"/>
      <c r="B196" s="4"/>
      <c r="C196" s="4"/>
      <c r="D196" s="4"/>
      <c r="E196" s="4"/>
      <c r="F196" s="4"/>
    </row>
    <row r="197">
      <c r="A197" s="2"/>
      <c r="B197" s="4"/>
      <c r="C197" s="4"/>
      <c r="D197" s="4"/>
      <c r="E197" s="4"/>
      <c r="F197" s="4"/>
    </row>
    <row r="198">
      <c r="A198" s="2"/>
      <c r="B198" s="4"/>
      <c r="C198" s="4"/>
      <c r="D198" s="4"/>
      <c r="E198" s="4"/>
      <c r="F198" s="4"/>
    </row>
    <row r="199">
      <c r="A199" s="2"/>
      <c r="B199" s="4"/>
      <c r="C199" s="4"/>
      <c r="D199" s="4"/>
      <c r="E199" s="4"/>
      <c r="F199" s="4"/>
    </row>
    <row r="200">
      <c r="A200" s="2"/>
      <c r="B200" s="4"/>
      <c r="C200" s="4"/>
      <c r="D200" s="4"/>
      <c r="E200" s="4"/>
      <c r="F200" s="4"/>
    </row>
    <row r="201">
      <c r="A201" s="2"/>
      <c r="B201" s="4"/>
      <c r="C201" s="4"/>
      <c r="D201" s="4"/>
      <c r="E201" s="4"/>
      <c r="F201" s="4"/>
    </row>
    <row r="202">
      <c r="A202" s="2"/>
      <c r="B202" s="4"/>
      <c r="C202" s="4"/>
      <c r="D202" s="4"/>
      <c r="E202" s="4"/>
      <c r="F202" s="4"/>
    </row>
    <row r="203">
      <c r="A203" s="2"/>
      <c r="B203" s="4"/>
      <c r="C203" s="4"/>
      <c r="D203" s="4"/>
      <c r="E203" s="4"/>
      <c r="F203" s="4"/>
    </row>
    <row r="204">
      <c r="A204" s="2"/>
      <c r="B204" s="4"/>
      <c r="C204" s="4"/>
      <c r="D204" s="4"/>
      <c r="E204" s="4"/>
      <c r="F204" s="4"/>
    </row>
    <row r="205">
      <c r="A205" s="2"/>
      <c r="B205" s="4"/>
      <c r="C205" s="4"/>
      <c r="D205" s="4"/>
      <c r="E205" s="4"/>
      <c r="F205" s="4"/>
    </row>
    <row r="206">
      <c r="A206" s="2"/>
      <c r="B206" s="4"/>
      <c r="C206" s="4"/>
      <c r="D206" s="4"/>
      <c r="E206" s="4"/>
      <c r="F206" s="4"/>
    </row>
    <row r="207">
      <c r="A207" s="2"/>
      <c r="B207" s="4"/>
      <c r="C207" s="4"/>
      <c r="D207" s="4"/>
      <c r="E207" s="4"/>
      <c r="F207" s="4"/>
    </row>
    <row r="208">
      <c r="A208" s="2"/>
      <c r="B208" s="4"/>
      <c r="C208" s="4"/>
      <c r="D208" s="4"/>
      <c r="E208" s="4"/>
      <c r="F208" s="4"/>
    </row>
    <row r="209">
      <c r="A209" s="2"/>
      <c r="B209" s="4"/>
      <c r="C209" s="4"/>
      <c r="D209" s="4"/>
      <c r="E209" s="4"/>
      <c r="F209" s="4"/>
    </row>
    <row r="210">
      <c r="A210" s="2"/>
      <c r="B210" s="4"/>
      <c r="C210" s="4"/>
      <c r="D210" s="4"/>
      <c r="E210" s="4"/>
      <c r="F210" s="4"/>
    </row>
    <row r="211">
      <c r="A211" s="2"/>
      <c r="B211" s="4"/>
      <c r="C211" s="4"/>
      <c r="D211" s="4"/>
      <c r="E211" s="4"/>
      <c r="F211" s="4"/>
    </row>
    <row r="212">
      <c r="A212" s="2"/>
      <c r="B212" s="4"/>
      <c r="C212" s="4"/>
      <c r="D212" s="4"/>
      <c r="E212" s="4"/>
      <c r="F212" s="4"/>
    </row>
    <row r="213">
      <c r="A213" s="2"/>
      <c r="B213" s="4"/>
      <c r="C213" s="4"/>
      <c r="D213" s="4"/>
      <c r="E213" s="4"/>
      <c r="F213" s="4"/>
    </row>
    <row r="214">
      <c r="A214" s="2"/>
      <c r="B214" s="4"/>
      <c r="C214" s="4"/>
      <c r="D214" s="4"/>
      <c r="E214" s="4"/>
      <c r="F214" s="4"/>
    </row>
    <row r="215">
      <c r="A215" s="2"/>
      <c r="B215" s="4"/>
      <c r="C215" s="4"/>
      <c r="D215" s="4"/>
      <c r="E215" s="4"/>
      <c r="F215" s="4"/>
    </row>
    <row r="216">
      <c r="A216" s="2"/>
      <c r="B216" s="4"/>
      <c r="C216" s="4"/>
      <c r="D216" s="4"/>
      <c r="E216" s="4"/>
      <c r="F216" s="4"/>
    </row>
    <row r="217">
      <c r="A217" s="2"/>
      <c r="B217" s="4"/>
      <c r="C217" s="4"/>
      <c r="D217" s="4"/>
      <c r="E217" s="4"/>
      <c r="F217" s="4"/>
    </row>
    <row r="218">
      <c r="A218" s="2"/>
      <c r="B218" s="4"/>
      <c r="C218" s="4"/>
      <c r="D218" s="4"/>
      <c r="E218" s="4"/>
      <c r="F218" s="4"/>
    </row>
    <row r="219">
      <c r="A219" s="2"/>
      <c r="B219" s="4"/>
      <c r="C219" s="4"/>
      <c r="D219" s="4"/>
      <c r="E219" s="4"/>
      <c r="F219" s="4"/>
    </row>
    <row r="220">
      <c r="A220" s="2"/>
      <c r="B220" s="4"/>
      <c r="C220" s="4"/>
      <c r="D220" s="4"/>
      <c r="E220" s="4"/>
      <c r="F220" s="4"/>
    </row>
    <row r="221">
      <c r="A221" s="2"/>
      <c r="B221" s="4"/>
      <c r="C221" s="4"/>
      <c r="D221" s="4"/>
      <c r="E221" s="4"/>
      <c r="F221" s="4"/>
    </row>
    <row r="222">
      <c r="A222" s="2"/>
      <c r="B222" s="4"/>
      <c r="C222" s="4"/>
      <c r="D222" s="4"/>
      <c r="E222" s="4"/>
      <c r="F222" s="4"/>
    </row>
    <row r="223">
      <c r="A223" s="2"/>
      <c r="B223" s="4"/>
      <c r="C223" s="4"/>
      <c r="D223" s="4"/>
      <c r="E223" s="4"/>
      <c r="F223" s="4"/>
    </row>
    <row r="224">
      <c r="A224" s="2"/>
      <c r="B224" s="4"/>
      <c r="C224" s="4"/>
      <c r="D224" s="4"/>
      <c r="E224" s="4"/>
      <c r="F224" s="4"/>
    </row>
    <row r="225">
      <c r="A225" s="2"/>
      <c r="B225" s="4"/>
      <c r="C225" s="4"/>
      <c r="D225" s="4"/>
      <c r="E225" s="4"/>
      <c r="F225" s="4"/>
    </row>
    <row r="226">
      <c r="A226" s="2"/>
      <c r="B226" s="4"/>
      <c r="C226" s="4"/>
      <c r="D226" s="4"/>
      <c r="E226" s="4"/>
      <c r="F226" s="4"/>
    </row>
    <row r="227">
      <c r="A227" s="2"/>
      <c r="B227" s="4"/>
      <c r="C227" s="4"/>
      <c r="D227" s="4"/>
      <c r="E227" s="4"/>
      <c r="F227" s="4"/>
    </row>
    <row r="228">
      <c r="A228" s="2"/>
      <c r="B228" s="4"/>
      <c r="C228" s="4"/>
      <c r="D228" s="4"/>
      <c r="E228" s="4"/>
      <c r="F228" s="4"/>
    </row>
    <row r="229">
      <c r="A229" s="2"/>
      <c r="B229" s="4"/>
      <c r="C229" s="4"/>
      <c r="D229" s="4"/>
      <c r="E229" s="4"/>
      <c r="F229" s="4"/>
    </row>
    <row r="230">
      <c r="A230" s="2"/>
      <c r="B230" s="4"/>
      <c r="C230" s="4"/>
      <c r="D230" s="4"/>
      <c r="E230" s="4"/>
      <c r="F230" s="4"/>
    </row>
    <row r="231">
      <c r="A231" s="2"/>
      <c r="B231" s="4"/>
      <c r="C231" s="4"/>
      <c r="D231" s="4"/>
      <c r="E231" s="4"/>
      <c r="F231" s="4"/>
    </row>
    <row r="232">
      <c r="A232" s="2"/>
      <c r="B232" s="4"/>
      <c r="C232" s="4"/>
      <c r="D232" s="4"/>
      <c r="E232" s="4"/>
      <c r="F232" s="4"/>
    </row>
    <row r="233">
      <c r="A233" s="2"/>
      <c r="B233" s="4"/>
      <c r="C233" s="4"/>
      <c r="D233" s="4"/>
      <c r="E233" s="4"/>
      <c r="F233" s="4"/>
    </row>
    <row r="234">
      <c r="A234" s="2"/>
      <c r="B234" s="4"/>
      <c r="C234" s="4"/>
      <c r="D234" s="4"/>
      <c r="E234" s="4"/>
      <c r="F234" s="4"/>
    </row>
    <row r="235">
      <c r="A235" s="2"/>
      <c r="B235" s="4"/>
      <c r="C235" s="4"/>
      <c r="D235" s="4"/>
      <c r="E235" s="4"/>
      <c r="F235" s="4"/>
    </row>
    <row r="236">
      <c r="A236" s="2"/>
      <c r="B236" s="4"/>
      <c r="C236" s="4"/>
      <c r="D236" s="4"/>
      <c r="E236" s="4"/>
      <c r="F236" s="4"/>
    </row>
    <row r="237">
      <c r="A237" s="2"/>
      <c r="B237" s="4"/>
      <c r="C237" s="4"/>
      <c r="D237" s="4"/>
      <c r="E237" s="4"/>
      <c r="F237" s="4"/>
    </row>
    <row r="238">
      <c r="A238" s="2"/>
      <c r="B238" s="4"/>
      <c r="C238" s="4"/>
      <c r="D238" s="4"/>
      <c r="E238" s="4"/>
      <c r="F238" s="4"/>
    </row>
    <row r="239">
      <c r="A239" s="2"/>
      <c r="B239" s="4"/>
      <c r="C239" s="4"/>
      <c r="D239" s="4"/>
      <c r="E239" s="4"/>
      <c r="F239" s="4"/>
    </row>
    <row r="240">
      <c r="A240" s="2"/>
      <c r="B240" s="4"/>
      <c r="C240" s="4"/>
      <c r="D240" s="4"/>
      <c r="E240" s="4"/>
      <c r="F240" s="4"/>
    </row>
    <row r="241">
      <c r="A241" s="2"/>
      <c r="B241" s="4"/>
      <c r="C241" s="4"/>
      <c r="D241" s="4"/>
      <c r="E241" s="4"/>
      <c r="F241" s="4"/>
    </row>
    <row r="242">
      <c r="A242" s="2"/>
      <c r="B242" s="4"/>
      <c r="C242" s="4"/>
      <c r="D242" s="4"/>
      <c r="E242" s="4"/>
      <c r="F242" s="4"/>
    </row>
    <row r="243">
      <c r="A243" s="2"/>
      <c r="B243" s="4"/>
      <c r="C243" s="4"/>
      <c r="D243" s="4"/>
      <c r="E243" s="4"/>
      <c r="F243" s="4"/>
    </row>
    <row r="244">
      <c r="A244" s="2"/>
      <c r="B244" s="4"/>
      <c r="C244" s="4"/>
      <c r="D244" s="4"/>
      <c r="E244" s="4"/>
      <c r="F244" s="4"/>
    </row>
    <row r="245">
      <c r="A245" s="2"/>
      <c r="B245" s="4"/>
      <c r="C245" s="4"/>
      <c r="D245" s="4"/>
      <c r="E245" s="4"/>
      <c r="F245" s="4"/>
    </row>
    <row r="246">
      <c r="A246" s="2"/>
      <c r="B246" s="4"/>
      <c r="C246" s="4"/>
      <c r="D246" s="4"/>
      <c r="E246" s="4"/>
      <c r="F246" s="4"/>
    </row>
    <row r="247">
      <c r="A247" s="2"/>
      <c r="B247" s="4"/>
      <c r="C247" s="4"/>
      <c r="D247" s="4"/>
      <c r="E247" s="4"/>
      <c r="F247" s="4"/>
    </row>
    <row r="248">
      <c r="A248" s="2"/>
      <c r="B248" s="4"/>
      <c r="C248" s="4"/>
      <c r="D248" s="4"/>
      <c r="E248" s="4"/>
      <c r="F248" s="4"/>
    </row>
    <row r="249">
      <c r="A249" s="2"/>
      <c r="B249" s="4"/>
      <c r="C249" s="4"/>
      <c r="D249" s="4"/>
      <c r="E249" s="4"/>
      <c r="F249" s="4"/>
    </row>
    <row r="250">
      <c r="A250" s="2"/>
      <c r="B250" s="4"/>
      <c r="C250" s="4"/>
      <c r="D250" s="4"/>
      <c r="E250" s="4"/>
      <c r="F250" s="4"/>
    </row>
    <row r="251">
      <c r="A251" s="2"/>
      <c r="B251" s="4"/>
      <c r="C251" s="4"/>
      <c r="D251" s="4"/>
      <c r="E251" s="4"/>
      <c r="F251" s="4"/>
    </row>
    <row r="252">
      <c r="A252" s="2"/>
      <c r="B252" s="4"/>
      <c r="C252" s="4"/>
      <c r="D252" s="4"/>
      <c r="E252" s="4"/>
      <c r="F252" s="4"/>
    </row>
    <row r="253">
      <c r="A253" s="2"/>
      <c r="B253" s="4"/>
      <c r="C253" s="4"/>
      <c r="D253" s="4"/>
      <c r="E253" s="4"/>
      <c r="F253" s="4"/>
    </row>
    <row r="254">
      <c r="A254" s="2"/>
      <c r="B254" s="4"/>
      <c r="C254" s="4"/>
      <c r="D254" s="4"/>
      <c r="E254" s="4"/>
      <c r="F254" s="4"/>
    </row>
    <row r="255">
      <c r="A255" s="2"/>
      <c r="B255" s="4"/>
      <c r="C255" s="4"/>
      <c r="D255" s="4"/>
      <c r="E255" s="4"/>
      <c r="F255" s="4"/>
    </row>
    <row r="256">
      <c r="A256" s="2"/>
      <c r="B256" s="4"/>
      <c r="C256" s="4"/>
      <c r="D256" s="4"/>
      <c r="E256" s="4"/>
      <c r="F256" s="4"/>
    </row>
    <row r="257">
      <c r="A257" s="2"/>
      <c r="B257" s="4"/>
      <c r="C257" s="4"/>
      <c r="D257" s="4"/>
      <c r="E257" s="4"/>
      <c r="F257" s="4"/>
    </row>
    <row r="258">
      <c r="A258" s="2"/>
      <c r="B258" s="4"/>
      <c r="C258" s="4"/>
      <c r="D258" s="4"/>
      <c r="E258" s="4"/>
      <c r="F258" s="4"/>
    </row>
    <row r="259">
      <c r="A259" s="2"/>
      <c r="B259" s="4"/>
      <c r="C259" s="4"/>
      <c r="D259" s="4"/>
      <c r="E259" s="4"/>
      <c r="F259" s="4"/>
    </row>
    <row r="260">
      <c r="A260" s="2"/>
      <c r="B260" s="4"/>
      <c r="C260" s="4"/>
      <c r="D260" s="4"/>
      <c r="E260" s="4"/>
      <c r="F260" s="4"/>
    </row>
    <row r="261">
      <c r="A261" s="2"/>
      <c r="B261" s="4"/>
      <c r="C261" s="4"/>
      <c r="D261" s="4"/>
      <c r="E261" s="4"/>
      <c r="F261" s="4"/>
    </row>
    <row r="262">
      <c r="A262" s="2"/>
      <c r="B262" s="4"/>
      <c r="C262" s="4"/>
      <c r="D262" s="4"/>
      <c r="E262" s="4"/>
      <c r="F262" s="4"/>
    </row>
    <row r="263">
      <c r="A263" s="2"/>
      <c r="B263" s="4"/>
      <c r="C263" s="4"/>
      <c r="D263" s="4"/>
      <c r="E263" s="4"/>
      <c r="F263" s="4"/>
    </row>
    <row r="264">
      <c r="A264" s="2"/>
      <c r="B264" s="4"/>
      <c r="C264" s="4"/>
      <c r="D264" s="4"/>
      <c r="E264" s="4"/>
      <c r="F264" s="4"/>
    </row>
    <row r="265">
      <c r="A265" s="2"/>
      <c r="B265" s="4"/>
      <c r="C265" s="4"/>
      <c r="D265" s="4"/>
      <c r="E265" s="4"/>
      <c r="F265" s="4"/>
    </row>
    <row r="266">
      <c r="A266" s="2"/>
      <c r="B266" s="4"/>
      <c r="C266" s="4"/>
      <c r="D266" s="4"/>
      <c r="E266" s="4"/>
      <c r="F266" s="4"/>
    </row>
    <row r="267">
      <c r="A267" s="2"/>
      <c r="B267" s="4"/>
      <c r="C267" s="4"/>
      <c r="D267" s="4"/>
      <c r="E267" s="4"/>
      <c r="F267" s="4"/>
    </row>
    <row r="268">
      <c r="A268" s="2"/>
      <c r="B268" s="4"/>
      <c r="C268" s="4"/>
      <c r="D268" s="4"/>
      <c r="E268" s="4"/>
      <c r="F268" s="4"/>
    </row>
    <row r="269">
      <c r="A269" s="2"/>
      <c r="B269" s="4"/>
      <c r="C269" s="4"/>
      <c r="D269" s="4"/>
      <c r="E269" s="4"/>
      <c r="F269" s="4"/>
    </row>
    <row r="270">
      <c r="A270" s="2"/>
      <c r="B270" s="4"/>
      <c r="C270" s="4"/>
      <c r="D270" s="4"/>
      <c r="E270" s="4"/>
      <c r="F270" s="4"/>
    </row>
    <row r="271">
      <c r="A271" s="2"/>
      <c r="B271" s="4"/>
      <c r="C271" s="4"/>
      <c r="D271" s="4"/>
      <c r="E271" s="4"/>
      <c r="F271" s="4"/>
    </row>
    <row r="272">
      <c r="A272" s="2"/>
      <c r="B272" s="4"/>
      <c r="C272" s="4"/>
      <c r="D272" s="4"/>
      <c r="E272" s="4"/>
      <c r="F272" s="4"/>
    </row>
    <row r="273">
      <c r="A273" s="2"/>
      <c r="B273" s="4"/>
      <c r="C273" s="4"/>
      <c r="D273" s="4"/>
      <c r="E273" s="4"/>
      <c r="F273" s="4"/>
    </row>
    <row r="274">
      <c r="A274" s="2"/>
      <c r="B274" s="4"/>
      <c r="C274" s="4"/>
      <c r="D274" s="4"/>
      <c r="E274" s="4"/>
      <c r="F274" s="4"/>
    </row>
    <row r="275">
      <c r="A275" s="2"/>
      <c r="B275" s="4"/>
      <c r="C275" s="4"/>
      <c r="D275" s="4"/>
      <c r="E275" s="4"/>
      <c r="F275" s="4"/>
    </row>
    <row r="276">
      <c r="A276" s="2"/>
      <c r="B276" s="4"/>
      <c r="C276" s="4"/>
      <c r="D276" s="4"/>
      <c r="E276" s="4"/>
      <c r="F276" s="4"/>
    </row>
    <row r="277">
      <c r="A277" s="2"/>
      <c r="B277" s="4"/>
      <c r="C277" s="4"/>
      <c r="D277" s="4"/>
      <c r="E277" s="4"/>
      <c r="F277" s="4"/>
    </row>
    <row r="278">
      <c r="A278" s="2"/>
      <c r="B278" s="4"/>
      <c r="C278" s="4"/>
      <c r="D278" s="4"/>
      <c r="E278" s="4"/>
      <c r="F278" s="4"/>
    </row>
    <row r="279">
      <c r="A279" s="2"/>
      <c r="B279" s="4"/>
      <c r="C279" s="4"/>
      <c r="D279" s="4"/>
      <c r="E279" s="4"/>
      <c r="F279" s="4"/>
    </row>
    <row r="280">
      <c r="A280" s="2"/>
      <c r="B280" s="4"/>
      <c r="C280" s="4"/>
      <c r="D280" s="4"/>
      <c r="E280" s="4"/>
      <c r="F280" s="4"/>
    </row>
    <row r="281">
      <c r="A281" s="2"/>
      <c r="B281" s="4"/>
      <c r="C281" s="4"/>
      <c r="D281" s="4"/>
      <c r="E281" s="4"/>
      <c r="F281" s="4"/>
    </row>
    <row r="282">
      <c r="A282" s="2"/>
      <c r="B282" s="4"/>
      <c r="C282" s="4"/>
      <c r="D282" s="4"/>
      <c r="E282" s="4"/>
      <c r="F282" s="4"/>
    </row>
    <row r="283">
      <c r="A283" s="2"/>
      <c r="B283" s="4"/>
      <c r="C283" s="4"/>
      <c r="D283" s="4"/>
      <c r="E283" s="4"/>
      <c r="F283" s="4"/>
    </row>
    <row r="284">
      <c r="A284" s="2"/>
      <c r="B284" s="4"/>
      <c r="C284" s="4"/>
      <c r="D284" s="4"/>
      <c r="E284" s="4"/>
      <c r="F284" s="4"/>
    </row>
    <row r="285">
      <c r="A285" s="2"/>
      <c r="B285" s="4"/>
      <c r="C285" s="4"/>
      <c r="D285" s="4"/>
      <c r="E285" s="4"/>
      <c r="F285" s="4"/>
    </row>
    <row r="286">
      <c r="A286" s="2"/>
      <c r="B286" s="4"/>
      <c r="C286" s="4"/>
      <c r="D286" s="4"/>
      <c r="E286" s="4"/>
      <c r="F286" s="4"/>
    </row>
    <row r="287">
      <c r="A287" s="2"/>
      <c r="B287" s="4"/>
      <c r="C287" s="4"/>
      <c r="D287" s="4"/>
      <c r="E287" s="4"/>
      <c r="F287" s="4"/>
    </row>
    <row r="288">
      <c r="A288" s="2"/>
      <c r="B288" s="4"/>
      <c r="C288" s="4"/>
      <c r="D288" s="4"/>
      <c r="E288" s="4"/>
      <c r="F288" s="4"/>
    </row>
    <row r="289">
      <c r="A289" s="2"/>
      <c r="B289" s="4"/>
      <c r="C289" s="4"/>
      <c r="D289" s="4"/>
      <c r="E289" s="4"/>
      <c r="F289" s="4"/>
    </row>
    <row r="290">
      <c r="A290" s="2"/>
      <c r="B290" s="4"/>
      <c r="C290" s="4"/>
      <c r="D290" s="4"/>
      <c r="E290" s="4"/>
      <c r="F290" s="4"/>
    </row>
    <row r="291">
      <c r="A291" s="2"/>
      <c r="B291" s="4"/>
      <c r="C291" s="4"/>
      <c r="D291" s="4"/>
      <c r="E291" s="4"/>
      <c r="F291" s="4"/>
    </row>
    <row r="292">
      <c r="A292" s="2"/>
      <c r="B292" s="4"/>
      <c r="C292" s="4"/>
      <c r="D292" s="4"/>
      <c r="E292" s="4"/>
      <c r="F292" s="4"/>
    </row>
    <row r="293">
      <c r="A293" s="2"/>
      <c r="B293" s="4"/>
      <c r="C293" s="4"/>
      <c r="D293" s="4"/>
      <c r="E293" s="4"/>
      <c r="F293" s="4"/>
    </row>
    <row r="294">
      <c r="A294" s="2"/>
      <c r="B294" s="4"/>
      <c r="C294" s="4"/>
      <c r="D294" s="4"/>
      <c r="E294" s="4"/>
      <c r="F294" s="4"/>
    </row>
    <row r="295">
      <c r="A295" s="2"/>
      <c r="B295" s="4"/>
      <c r="C295" s="4"/>
      <c r="D295" s="4"/>
      <c r="E295" s="4"/>
      <c r="F295" s="4"/>
    </row>
    <row r="296">
      <c r="A296" s="2"/>
      <c r="B296" s="4"/>
      <c r="C296" s="4"/>
      <c r="D296" s="4"/>
      <c r="E296" s="4"/>
      <c r="F296" s="4"/>
    </row>
    <row r="297">
      <c r="A297" s="2"/>
      <c r="B297" s="4"/>
      <c r="C297" s="4"/>
      <c r="D297" s="4"/>
      <c r="E297" s="4"/>
      <c r="F297" s="4"/>
    </row>
    <row r="298">
      <c r="A298" s="2"/>
      <c r="B298" s="4"/>
      <c r="C298" s="4"/>
      <c r="D298" s="4"/>
      <c r="E298" s="4"/>
      <c r="F298" s="4"/>
    </row>
    <row r="299">
      <c r="A299" s="2"/>
      <c r="B299" s="4"/>
      <c r="C299" s="4"/>
      <c r="D299" s="4"/>
      <c r="E299" s="4"/>
      <c r="F299" s="4"/>
    </row>
    <row r="300">
      <c r="A300" s="2"/>
      <c r="B300" s="4"/>
      <c r="C300" s="4"/>
      <c r="D300" s="4"/>
      <c r="E300" s="4"/>
      <c r="F300" s="4"/>
    </row>
    <row r="301">
      <c r="A301" s="2"/>
      <c r="B301" s="4"/>
      <c r="C301" s="4"/>
      <c r="D301" s="4"/>
      <c r="E301" s="4"/>
      <c r="F301" s="4"/>
    </row>
    <row r="302">
      <c r="A302" s="2"/>
      <c r="B302" s="4"/>
      <c r="C302" s="4"/>
      <c r="D302" s="4"/>
      <c r="E302" s="4"/>
      <c r="F302" s="4"/>
    </row>
    <row r="303">
      <c r="A303" s="2"/>
      <c r="B303" s="4"/>
      <c r="C303" s="4"/>
      <c r="D303" s="4"/>
      <c r="E303" s="4"/>
      <c r="F303" s="4"/>
    </row>
    <row r="304">
      <c r="A304" s="2"/>
      <c r="B304" s="4"/>
      <c r="C304" s="4"/>
      <c r="D304" s="4"/>
      <c r="E304" s="4"/>
      <c r="F304" s="4"/>
    </row>
    <row r="305">
      <c r="A305" s="2"/>
      <c r="B305" s="4"/>
      <c r="C305" s="4"/>
      <c r="D305" s="4"/>
      <c r="E305" s="4"/>
      <c r="F305" s="4"/>
    </row>
    <row r="306">
      <c r="A306" s="2"/>
      <c r="B306" s="4"/>
      <c r="C306" s="4"/>
      <c r="D306" s="4"/>
      <c r="E306" s="4"/>
      <c r="F306" s="4"/>
    </row>
    <row r="307">
      <c r="A307" s="2"/>
      <c r="B307" s="4"/>
      <c r="C307" s="4"/>
      <c r="D307" s="4"/>
      <c r="E307" s="4"/>
      <c r="F307" s="4"/>
    </row>
    <row r="308">
      <c r="A308" s="2"/>
      <c r="B308" s="4"/>
      <c r="C308" s="4"/>
      <c r="D308" s="4"/>
      <c r="E308" s="4"/>
      <c r="F308" s="4"/>
    </row>
    <row r="309">
      <c r="A309" s="2"/>
      <c r="B309" s="4"/>
      <c r="C309" s="4"/>
      <c r="D309" s="4"/>
      <c r="E309" s="4"/>
      <c r="F309" s="4"/>
    </row>
    <row r="310">
      <c r="A310" s="2"/>
      <c r="B310" s="4"/>
      <c r="C310" s="4"/>
      <c r="D310" s="4"/>
      <c r="E310" s="4"/>
      <c r="F310" s="4"/>
    </row>
    <row r="311">
      <c r="A311" s="2"/>
      <c r="B311" s="4"/>
      <c r="C311" s="4"/>
      <c r="D311" s="4"/>
      <c r="E311" s="4"/>
      <c r="F311" s="4"/>
    </row>
    <row r="312">
      <c r="A312" s="2"/>
      <c r="B312" s="4"/>
      <c r="C312" s="4"/>
      <c r="D312" s="4"/>
      <c r="E312" s="4"/>
      <c r="F312" s="4"/>
    </row>
    <row r="313">
      <c r="A313" s="2"/>
      <c r="B313" s="4"/>
      <c r="C313" s="4"/>
      <c r="D313" s="4"/>
      <c r="E313" s="4"/>
      <c r="F313" s="4"/>
    </row>
    <row r="314">
      <c r="A314" s="2"/>
      <c r="B314" s="4"/>
      <c r="C314" s="4"/>
      <c r="D314" s="4"/>
      <c r="E314" s="4"/>
      <c r="F314" s="4"/>
    </row>
    <row r="315">
      <c r="A315" s="2"/>
      <c r="B315" s="4"/>
      <c r="C315" s="4"/>
      <c r="D315" s="4"/>
      <c r="E315" s="4"/>
      <c r="F315" s="4"/>
    </row>
    <row r="316">
      <c r="A316" s="2"/>
      <c r="B316" s="4"/>
      <c r="C316" s="4"/>
      <c r="D316" s="4"/>
      <c r="E316" s="4"/>
      <c r="F316" s="4"/>
    </row>
    <row r="317">
      <c r="A317" s="2"/>
      <c r="B317" s="4"/>
      <c r="C317" s="4"/>
      <c r="D317" s="4"/>
      <c r="E317" s="4"/>
      <c r="F317" s="4"/>
    </row>
    <row r="318">
      <c r="A318" s="2"/>
      <c r="B318" s="4"/>
      <c r="C318" s="4"/>
      <c r="D318" s="4"/>
      <c r="E318" s="4"/>
      <c r="F318" s="4"/>
    </row>
    <row r="319">
      <c r="A319" s="2"/>
      <c r="B319" s="4"/>
      <c r="C319" s="4"/>
      <c r="D319" s="4"/>
      <c r="E319" s="4"/>
      <c r="F319" s="4"/>
    </row>
    <row r="320">
      <c r="A320" s="2"/>
      <c r="B320" s="4"/>
      <c r="C320" s="4"/>
      <c r="D320" s="4"/>
      <c r="E320" s="4"/>
      <c r="F320" s="4"/>
    </row>
    <row r="321">
      <c r="A321" s="2"/>
      <c r="B321" s="4"/>
      <c r="C321" s="4"/>
      <c r="D321" s="4"/>
      <c r="E321" s="4"/>
      <c r="F321" s="4"/>
    </row>
    <row r="322">
      <c r="A322" s="2"/>
      <c r="B322" s="4"/>
      <c r="C322" s="4"/>
      <c r="D322" s="4"/>
      <c r="E322" s="4"/>
      <c r="F322" s="4"/>
    </row>
    <row r="323">
      <c r="A323" s="2"/>
      <c r="B323" s="4"/>
      <c r="C323" s="4"/>
      <c r="D323" s="4"/>
      <c r="E323" s="4"/>
      <c r="F323" s="4"/>
    </row>
    <row r="324">
      <c r="A324" s="2"/>
      <c r="B324" s="4"/>
      <c r="C324" s="4"/>
      <c r="D324" s="4"/>
      <c r="E324" s="4"/>
      <c r="F324" s="4"/>
    </row>
    <row r="325">
      <c r="A325" s="2"/>
      <c r="B325" s="4"/>
      <c r="C325" s="4"/>
      <c r="D325" s="4"/>
      <c r="E325" s="4"/>
      <c r="F325" s="4"/>
    </row>
    <row r="326">
      <c r="A326" s="2"/>
      <c r="B326" s="4"/>
      <c r="C326" s="4"/>
      <c r="D326" s="4"/>
      <c r="E326" s="4"/>
      <c r="F326" s="4"/>
    </row>
    <row r="327">
      <c r="A327" s="2"/>
      <c r="B327" s="4"/>
      <c r="C327" s="4"/>
      <c r="D327" s="4"/>
      <c r="E327" s="4"/>
      <c r="F327" s="4"/>
    </row>
    <row r="328">
      <c r="A328" s="2"/>
      <c r="B328" s="4"/>
      <c r="C328" s="4"/>
      <c r="D328" s="4"/>
      <c r="E328" s="4"/>
      <c r="F328" s="4"/>
    </row>
    <row r="329">
      <c r="A329" s="2"/>
      <c r="B329" s="4"/>
      <c r="C329" s="4"/>
      <c r="D329" s="4"/>
      <c r="E329" s="4"/>
      <c r="F329" s="4"/>
    </row>
    <row r="330">
      <c r="A330" s="2"/>
      <c r="B330" s="4"/>
      <c r="C330" s="4"/>
      <c r="D330" s="4"/>
      <c r="E330" s="4"/>
      <c r="F330" s="4"/>
    </row>
    <row r="331">
      <c r="A331" s="2"/>
      <c r="B331" s="4"/>
      <c r="C331" s="4"/>
      <c r="D331" s="4"/>
      <c r="E331" s="4"/>
      <c r="F331" s="4"/>
    </row>
    <row r="332">
      <c r="A332" s="2"/>
      <c r="B332" s="4"/>
      <c r="C332" s="4"/>
      <c r="D332" s="4"/>
      <c r="E332" s="4"/>
      <c r="F332" s="4"/>
    </row>
    <row r="333">
      <c r="A333" s="2"/>
      <c r="B333" s="4"/>
      <c r="C333" s="4"/>
      <c r="D333" s="4"/>
      <c r="E333" s="4"/>
      <c r="F333" s="4"/>
    </row>
    <row r="334">
      <c r="A334" s="2"/>
      <c r="B334" s="4"/>
      <c r="C334" s="4"/>
      <c r="D334" s="4"/>
      <c r="E334" s="4"/>
      <c r="F334" s="4"/>
    </row>
    <row r="335">
      <c r="A335" s="2"/>
      <c r="B335" s="4"/>
      <c r="C335" s="4"/>
      <c r="D335" s="4"/>
      <c r="E335" s="4"/>
      <c r="F335" s="4"/>
    </row>
    <row r="336">
      <c r="A336" s="2"/>
      <c r="B336" s="4"/>
      <c r="C336" s="4"/>
      <c r="D336" s="4"/>
      <c r="E336" s="4"/>
      <c r="F336" s="4"/>
    </row>
    <row r="337">
      <c r="A337" s="2"/>
      <c r="B337" s="4"/>
      <c r="C337" s="4"/>
      <c r="D337" s="4"/>
      <c r="E337" s="4"/>
      <c r="F337" s="4"/>
    </row>
    <row r="338">
      <c r="A338" s="2"/>
      <c r="B338" s="4"/>
      <c r="C338" s="4"/>
      <c r="D338" s="4"/>
      <c r="E338" s="4"/>
      <c r="F338" s="4"/>
    </row>
    <row r="339">
      <c r="A339" s="2"/>
      <c r="B339" s="4"/>
      <c r="C339" s="4"/>
      <c r="D339" s="4"/>
      <c r="E339" s="4"/>
      <c r="F339" s="4"/>
    </row>
    <row r="340">
      <c r="A340" s="2"/>
      <c r="B340" s="4"/>
      <c r="C340" s="4"/>
      <c r="D340" s="4"/>
      <c r="E340" s="4"/>
      <c r="F340" s="4"/>
    </row>
    <row r="341">
      <c r="A341" s="2"/>
      <c r="B341" s="4"/>
      <c r="C341" s="4"/>
      <c r="D341" s="4"/>
      <c r="E341" s="4"/>
      <c r="F341" s="4"/>
    </row>
    <row r="342">
      <c r="A342" s="2"/>
      <c r="B342" s="4"/>
      <c r="C342" s="4"/>
      <c r="D342" s="4"/>
      <c r="E342" s="4"/>
      <c r="F342" s="4"/>
    </row>
    <row r="343">
      <c r="A343" s="2"/>
      <c r="B343" s="4"/>
      <c r="C343" s="4"/>
      <c r="D343" s="4"/>
      <c r="E343" s="4"/>
      <c r="F343" s="4"/>
    </row>
    <row r="344">
      <c r="A344" s="2"/>
      <c r="B344" s="4"/>
      <c r="C344" s="4"/>
      <c r="D344" s="4"/>
      <c r="E344" s="4"/>
      <c r="F344" s="4"/>
    </row>
    <row r="345">
      <c r="A345" s="2"/>
      <c r="B345" s="4"/>
      <c r="C345" s="4"/>
      <c r="D345" s="4"/>
      <c r="E345" s="4"/>
      <c r="F345" s="4"/>
    </row>
    <row r="346">
      <c r="A346" s="2"/>
      <c r="B346" s="4"/>
      <c r="C346" s="4"/>
      <c r="D346" s="4"/>
      <c r="E346" s="4"/>
      <c r="F346" s="4"/>
    </row>
    <row r="347">
      <c r="A347" s="2"/>
      <c r="B347" s="4"/>
      <c r="C347" s="4"/>
      <c r="D347" s="4"/>
      <c r="E347" s="4"/>
      <c r="F347" s="4"/>
    </row>
    <row r="348">
      <c r="A348" s="2"/>
      <c r="B348" s="4"/>
      <c r="C348" s="4"/>
      <c r="D348" s="4"/>
      <c r="E348" s="4"/>
      <c r="F348" s="4"/>
    </row>
    <row r="349">
      <c r="A349" s="2"/>
      <c r="B349" s="4"/>
      <c r="C349" s="4"/>
      <c r="D349" s="4"/>
      <c r="E349" s="4"/>
      <c r="F349" s="4"/>
    </row>
    <row r="350">
      <c r="A350" s="2"/>
      <c r="B350" s="4"/>
      <c r="C350" s="4"/>
      <c r="D350" s="4"/>
      <c r="E350" s="4"/>
      <c r="F350" s="4"/>
    </row>
    <row r="351">
      <c r="A351" s="2"/>
      <c r="B351" s="4"/>
      <c r="C351" s="4"/>
      <c r="D351" s="4"/>
      <c r="E351" s="4"/>
      <c r="F351" s="4"/>
    </row>
    <row r="352">
      <c r="A352" s="2"/>
      <c r="B352" s="4"/>
      <c r="C352" s="4"/>
      <c r="D352" s="4"/>
      <c r="E352" s="4"/>
      <c r="F352" s="4"/>
    </row>
    <row r="353">
      <c r="A353" s="2"/>
      <c r="B353" s="4"/>
      <c r="C353" s="4"/>
      <c r="D353" s="4"/>
      <c r="E353" s="4"/>
      <c r="F353" s="4"/>
    </row>
    <row r="354">
      <c r="A354" s="2"/>
      <c r="B354" s="4"/>
      <c r="C354" s="4"/>
      <c r="D354" s="4"/>
      <c r="E354" s="4"/>
      <c r="F354" s="4"/>
    </row>
    <row r="355">
      <c r="A355" s="2"/>
      <c r="B355" s="4"/>
      <c r="C355" s="4"/>
      <c r="D355" s="4"/>
      <c r="E355" s="4"/>
      <c r="F355" s="4"/>
    </row>
    <row r="356">
      <c r="A356" s="2"/>
      <c r="B356" s="4"/>
      <c r="C356" s="4"/>
      <c r="D356" s="4"/>
      <c r="E356" s="4"/>
      <c r="F356" s="4"/>
    </row>
    <row r="357">
      <c r="A357" s="2"/>
      <c r="B357" s="4"/>
      <c r="C357" s="4"/>
      <c r="D357" s="4"/>
      <c r="E357" s="4"/>
      <c r="F357" s="4"/>
    </row>
    <row r="358">
      <c r="A358" s="2"/>
      <c r="B358" s="4"/>
      <c r="C358" s="4"/>
      <c r="D358" s="4"/>
      <c r="E358" s="4"/>
      <c r="F358" s="4"/>
    </row>
    <row r="359">
      <c r="A359" s="2"/>
      <c r="B359" s="4"/>
      <c r="C359" s="4"/>
      <c r="D359" s="4"/>
      <c r="E359" s="4"/>
      <c r="F359" s="4"/>
    </row>
    <row r="360">
      <c r="A360" s="2"/>
      <c r="B360" s="4"/>
      <c r="C360" s="4"/>
      <c r="D360" s="4"/>
      <c r="E360" s="4"/>
      <c r="F360" s="4"/>
    </row>
    <row r="361">
      <c r="A361" s="2"/>
      <c r="B361" s="4"/>
      <c r="C361" s="4"/>
      <c r="D361" s="4"/>
      <c r="E361" s="4"/>
      <c r="F361" s="4"/>
    </row>
    <row r="362">
      <c r="A362" s="2"/>
      <c r="B362" s="4"/>
      <c r="C362" s="4"/>
      <c r="D362" s="4"/>
      <c r="E362" s="4"/>
      <c r="F362" s="4"/>
    </row>
    <row r="363">
      <c r="A363" s="2"/>
      <c r="B363" s="4"/>
      <c r="C363" s="4"/>
      <c r="D363" s="4"/>
      <c r="E363" s="4"/>
      <c r="F363" s="4"/>
    </row>
    <row r="364">
      <c r="A364" s="2"/>
      <c r="B364" s="4"/>
      <c r="C364" s="4"/>
      <c r="D364" s="4"/>
      <c r="E364" s="4"/>
      <c r="F364" s="4"/>
    </row>
    <row r="365">
      <c r="A365" s="2"/>
      <c r="B365" s="4"/>
      <c r="C365" s="4"/>
      <c r="D365" s="4"/>
      <c r="E365" s="4"/>
      <c r="F365" s="4"/>
    </row>
    <row r="366">
      <c r="A366" s="2"/>
      <c r="B366" s="4"/>
      <c r="C366" s="4"/>
      <c r="D366" s="4"/>
      <c r="E366" s="4"/>
      <c r="F366" s="4"/>
    </row>
    <row r="367">
      <c r="A367" s="2"/>
      <c r="B367" s="4"/>
      <c r="C367" s="4"/>
      <c r="D367" s="4"/>
      <c r="E367" s="4"/>
      <c r="F367" s="4"/>
    </row>
    <row r="368">
      <c r="A368" s="2"/>
      <c r="B368" s="4"/>
      <c r="C368" s="4"/>
      <c r="D368" s="4"/>
      <c r="E368" s="4"/>
      <c r="F368" s="4"/>
    </row>
    <row r="369">
      <c r="A369" s="2"/>
      <c r="B369" s="4"/>
      <c r="C369" s="4"/>
      <c r="D369" s="4"/>
      <c r="E369" s="4"/>
      <c r="F369" s="4"/>
    </row>
    <row r="370">
      <c r="A370" s="2"/>
      <c r="B370" s="4"/>
      <c r="C370" s="4"/>
      <c r="D370" s="4"/>
      <c r="E370" s="4"/>
      <c r="F370" s="4"/>
    </row>
    <row r="371">
      <c r="A371" s="2"/>
      <c r="B371" s="4"/>
      <c r="C371" s="4"/>
      <c r="D371" s="4"/>
      <c r="E371" s="4"/>
      <c r="F371" s="4"/>
    </row>
    <row r="372">
      <c r="A372" s="2"/>
      <c r="B372" s="4"/>
      <c r="C372" s="4"/>
      <c r="D372" s="4"/>
      <c r="E372" s="4"/>
      <c r="F372" s="4"/>
    </row>
    <row r="373">
      <c r="A373" s="2"/>
      <c r="B373" s="4"/>
      <c r="C373" s="4"/>
      <c r="D373" s="4"/>
      <c r="E373" s="4"/>
      <c r="F373" s="4"/>
    </row>
    <row r="374">
      <c r="A374" s="2"/>
      <c r="B374" s="4"/>
      <c r="C374" s="4"/>
      <c r="D374" s="4"/>
      <c r="E374" s="4"/>
      <c r="F374" s="4"/>
    </row>
    <row r="375">
      <c r="A375" s="2"/>
      <c r="B375" s="4"/>
      <c r="C375" s="4"/>
      <c r="D375" s="4"/>
      <c r="E375" s="4"/>
      <c r="F375" s="4"/>
    </row>
    <row r="376">
      <c r="A376" s="2"/>
      <c r="B376" s="4"/>
      <c r="C376" s="4"/>
      <c r="D376" s="4"/>
      <c r="E376" s="4"/>
      <c r="F376" s="4"/>
    </row>
    <row r="377">
      <c r="A377" s="2"/>
      <c r="B377" s="4"/>
      <c r="C377" s="4"/>
      <c r="D377" s="4"/>
      <c r="E377" s="4"/>
      <c r="F377" s="4"/>
    </row>
    <row r="378">
      <c r="A378" s="2"/>
      <c r="B378" s="4"/>
      <c r="C378" s="4"/>
      <c r="D378" s="4"/>
      <c r="E378" s="4"/>
      <c r="F378" s="4"/>
    </row>
    <row r="379">
      <c r="A379" s="2"/>
      <c r="B379" s="4"/>
      <c r="C379" s="4"/>
      <c r="D379" s="4"/>
      <c r="E379" s="4"/>
      <c r="F379" s="4"/>
    </row>
    <row r="380">
      <c r="A380" s="2"/>
      <c r="B380" s="4"/>
      <c r="C380" s="4"/>
      <c r="D380" s="4"/>
      <c r="E380" s="4"/>
      <c r="F380" s="4"/>
    </row>
    <row r="381">
      <c r="A381" s="2"/>
      <c r="B381" s="4"/>
      <c r="C381" s="4"/>
      <c r="D381" s="4"/>
      <c r="E381" s="4"/>
      <c r="F381" s="4"/>
    </row>
    <row r="382">
      <c r="A382" s="2"/>
      <c r="B382" s="4"/>
      <c r="C382" s="4"/>
      <c r="D382" s="4"/>
      <c r="E382" s="4"/>
      <c r="F382" s="4"/>
    </row>
    <row r="383">
      <c r="A383" s="2"/>
      <c r="B383" s="4"/>
      <c r="C383" s="4"/>
      <c r="D383" s="4"/>
      <c r="E383" s="4"/>
      <c r="F383" s="4"/>
    </row>
    <row r="384">
      <c r="A384" s="2"/>
      <c r="B384" s="4"/>
      <c r="C384" s="4"/>
      <c r="D384" s="4"/>
      <c r="E384" s="4"/>
      <c r="F384" s="4"/>
    </row>
    <row r="385">
      <c r="A385" s="2"/>
      <c r="B385" s="4"/>
      <c r="C385" s="4"/>
      <c r="D385" s="4"/>
      <c r="E385" s="4"/>
      <c r="F385" s="4"/>
    </row>
    <row r="386">
      <c r="A386" s="2"/>
      <c r="B386" s="4"/>
      <c r="C386" s="4"/>
      <c r="D386" s="4"/>
      <c r="E386" s="4"/>
      <c r="F386" s="4"/>
    </row>
    <row r="387">
      <c r="A387" s="2"/>
      <c r="B387" s="4"/>
      <c r="C387" s="4"/>
      <c r="D387" s="4"/>
      <c r="E387" s="4"/>
      <c r="F387" s="4"/>
    </row>
    <row r="388">
      <c r="A388" s="2"/>
      <c r="B388" s="4"/>
      <c r="C388" s="4"/>
      <c r="D388" s="4"/>
      <c r="E388" s="4"/>
      <c r="F388" s="4"/>
    </row>
    <row r="389">
      <c r="A389" s="2"/>
      <c r="B389" s="4"/>
      <c r="C389" s="4"/>
      <c r="D389" s="4"/>
      <c r="E389" s="4"/>
      <c r="F389" s="4"/>
    </row>
    <row r="390">
      <c r="A390" s="2"/>
      <c r="B390" s="4"/>
      <c r="C390" s="4"/>
      <c r="D390" s="4"/>
      <c r="E390" s="4"/>
      <c r="F390" s="4"/>
    </row>
    <row r="391">
      <c r="A391" s="2"/>
      <c r="B391" s="4"/>
      <c r="C391" s="4"/>
      <c r="D391" s="4"/>
      <c r="E391" s="4"/>
      <c r="F391" s="4"/>
    </row>
    <row r="392">
      <c r="A392" s="2"/>
      <c r="B392" s="4"/>
      <c r="C392" s="4"/>
      <c r="D392" s="4"/>
      <c r="E392" s="4"/>
      <c r="F392" s="4"/>
    </row>
    <row r="393">
      <c r="A393" s="2"/>
      <c r="B393" s="4"/>
      <c r="C393" s="4"/>
      <c r="D393" s="4"/>
      <c r="E393" s="4"/>
      <c r="F393" s="4"/>
    </row>
    <row r="394">
      <c r="A394" s="2"/>
      <c r="B394" s="4"/>
      <c r="C394" s="4"/>
      <c r="D394" s="4"/>
      <c r="E394" s="4"/>
      <c r="F394" s="4"/>
    </row>
    <row r="395">
      <c r="A395" s="2"/>
      <c r="B395" s="4"/>
      <c r="C395" s="4"/>
      <c r="D395" s="4"/>
      <c r="E395" s="4"/>
      <c r="F395" s="4"/>
    </row>
    <row r="396">
      <c r="A396" s="2"/>
      <c r="B396" s="4"/>
      <c r="C396" s="4"/>
      <c r="D396" s="4"/>
      <c r="E396" s="4"/>
      <c r="F396" s="4"/>
    </row>
    <row r="397">
      <c r="A397" s="2"/>
      <c r="B397" s="4"/>
      <c r="C397" s="4"/>
      <c r="D397" s="4"/>
      <c r="E397" s="4"/>
      <c r="F397" s="4"/>
    </row>
    <row r="398">
      <c r="A398" s="2"/>
      <c r="B398" s="4"/>
      <c r="C398" s="4"/>
      <c r="D398" s="4"/>
      <c r="E398" s="4"/>
      <c r="F398" s="4"/>
    </row>
    <row r="399">
      <c r="A399" s="2"/>
      <c r="B399" s="4"/>
      <c r="C399" s="4"/>
      <c r="D399" s="4"/>
      <c r="E399" s="4"/>
      <c r="F399" s="4"/>
    </row>
    <row r="400">
      <c r="A400" s="2"/>
      <c r="B400" s="4"/>
      <c r="C400" s="4"/>
      <c r="D400" s="4"/>
      <c r="E400" s="4"/>
      <c r="F400" s="4"/>
    </row>
    <row r="401">
      <c r="A401" s="2"/>
      <c r="B401" s="4"/>
      <c r="C401" s="4"/>
      <c r="D401" s="4"/>
      <c r="E401" s="4"/>
      <c r="F401" s="4"/>
    </row>
    <row r="402">
      <c r="A402" s="2"/>
      <c r="B402" s="4"/>
      <c r="C402" s="4"/>
      <c r="D402" s="4"/>
      <c r="E402" s="4"/>
      <c r="F402" s="4"/>
    </row>
    <row r="403">
      <c r="A403" s="2"/>
      <c r="B403" s="4"/>
      <c r="C403" s="4"/>
      <c r="D403" s="4"/>
      <c r="E403" s="4"/>
      <c r="F403" s="4"/>
    </row>
    <row r="404">
      <c r="A404" s="2"/>
      <c r="B404" s="4"/>
      <c r="C404" s="4"/>
      <c r="D404" s="4"/>
      <c r="E404" s="4"/>
      <c r="F404" s="4"/>
    </row>
    <row r="405">
      <c r="A405" s="2"/>
      <c r="B405" s="4"/>
      <c r="C405" s="4"/>
      <c r="D405" s="4"/>
      <c r="E405" s="4"/>
      <c r="F405" s="4"/>
    </row>
    <row r="406">
      <c r="A406" s="2"/>
      <c r="B406" s="4"/>
      <c r="C406" s="4"/>
      <c r="D406" s="4"/>
      <c r="E406" s="4"/>
      <c r="F406" s="4"/>
    </row>
    <row r="407">
      <c r="A407" s="2"/>
      <c r="B407" s="4"/>
      <c r="C407" s="4"/>
      <c r="D407" s="4"/>
      <c r="E407" s="4"/>
      <c r="F407" s="4"/>
    </row>
    <row r="408">
      <c r="A408" s="2"/>
      <c r="B408" s="4"/>
      <c r="C408" s="4"/>
      <c r="D408" s="4"/>
      <c r="E408" s="4"/>
      <c r="F408" s="4"/>
    </row>
    <row r="409">
      <c r="A409" s="2"/>
      <c r="B409" s="4"/>
      <c r="C409" s="4"/>
      <c r="D409" s="4"/>
      <c r="E409" s="4"/>
      <c r="F409" s="4"/>
    </row>
    <row r="410">
      <c r="A410" s="2"/>
      <c r="B410" s="4"/>
      <c r="C410" s="4"/>
      <c r="D410" s="4"/>
      <c r="E410" s="4"/>
      <c r="F410" s="4"/>
    </row>
    <row r="411">
      <c r="A411" s="2"/>
      <c r="B411" s="4"/>
      <c r="C411" s="4"/>
      <c r="D411" s="4"/>
      <c r="E411" s="4"/>
      <c r="F411" s="4"/>
    </row>
    <row r="412">
      <c r="A412" s="2"/>
      <c r="B412" s="4"/>
      <c r="C412" s="4"/>
      <c r="D412" s="4"/>
      <c r="E412" s="4"/>
      <c r="F412" s="4"/>
    </row>
    <row r="413">
      <c r="A413" s="2"/>
      <c r="B413" s="4"/>
      <c r="C413" s="4"/>
      <c r="D413" s="4"/>
      <c r="E413" s="4"/>
      <c r="F413" s="4"/>
    </row>
    <row r="414">
      <c r="A414" s="2"/>
      <c r="B414" s="4"/>
      <c r="C414" s="4"/>
      <c r="D414" s="4"/>
      <c r="E414" s="4"/>
      <c r="F414" s="4"/>
    </row>
    <row r="415">
      <c r="A415" s="2"/>
      <c r="B415" s="4"/>
      <c r="C415" s="4"/>
      <c r="D415" s="4"/>
      <c r="E415" s="4"/>
      <c r="F415" s="4"/>
    </row>
    <row r="416">
      <c r="A416" s="2"/>
      <c r="B416" s="4"/>
      <c r="C416" s="4"/>
      <c r="D416" s="4"/>
      <c r="E416" s="4"/>
      <c r="F416" s="4"/>
    </row>
    <row r="417">
      <c r="A417" s="2"/>
      <c r="B417" s="4"/>
      <c r="C417" s="4"/>
      <c r="D417" s="4"/>
      <c r="E417" s="4"/>
      <c r="F417" s="4"/>
    </row>
    <row r="418">
      <c r="A418" s="2"/>
      <c r="B418" s="4"/>
      <c r="C418" s="4"/>
      <c r="D418" s="4"/>
      <c r="E418" s="4"/>
      <c r="F418" s="4"/>
    </row>
    <row r="419">
      <c r="A419" s="2"/>
      <c r="B419" s="4"/>
      <c r="C419" s="4"/>
      <c r="D419" s="4"/>
      <c r="E419" s="4"/>
      <c r="F419" s="4"/>
    </row>
    <row r="420">
      <c r="A420" s="2"/>
      <c r="B420" s="4"/>
      <c r="C420" s="4"/>
      <c r="D420" s="4"/>
      <c r="E420" s="4"/>
      <c r="F420" s="4"/>
    </row>
    <row r="421">
      <c r="A421" s="2"/>
      <c r="B421" s="4"/>
      <c r="C421" s="4"/>
      <c r="D421" s="4"/>
      <c r="E421" s="4"/>
      <c r="F421" s="4"/>
    </row>
    <row r="422">
      <c r="A422" s="2"/>
      <c r="B422" s="4"/>
      <c r="C422" s="4"/>
      <c r="D422" s="4"/>
      <c r="E422" s="4"/>
      <c r="F422" s="4"/>
    </row>
    <row r="423">
      <c r="A423" s="2"/>
      <c r="B423" s="4"/>
      <c r="C423" s="4"/>
      <c r="D423" s="4"/>
      <c r="E423" s="4"/>
      <c r="F423" s="4"/>
    </row>
    <row r="424">
      <c r="A424" s="2"/>
      <c r="B424" s="4"/>
      <c r="C424" s="4"/>
      <c r="D424" s="4"/>
      <c r="E424" s="4"/>
      <c r="F424" s="4"/>
    </row>
    <row r="425">
      <c r="A425" s="2"/>
      <c r="B425" s="4"/>
      <c r="C425" s="4"/>
      <c r="D425" s="4"/>
      <c r="E425" s="4"/>
      <c r="F425" s="4"/>
    </row>
    <row r="426">
      <c r="A426" s="2"/>
      <c r="B426" s="4"/>
      <c r="C426" s="4"/>
      <c r="D426" s="4"/>
      <c r="E426" s="4"/>
      <c r="F426" s="4"/>
    </row>
    <row r="427">
      <c r="A427" s="2"/>
      <c r="B427" s="4"/>
      <c r="C427" s="4"/>
      <c r="D427" s="4"/>
      <c r="E427" s="4"/>
      <c r="F427" s="4"/>
    </row>
    <row r="428">
      <c r="A428" s="2"/>
      <c r="B428" s="4"/>
      <c r="C428" s="4"/>
      <c r="D428" s="4"/>
      <c r="E428" s="4"/>
      <c r="F428" s="4"/>
    </row>
    <row r="429">
      <c r="A429" s="2"/>
      <c r="B429" s="4"/>
      <c r="C429" s="4"/>
      <c r="D429" s="4"/>
      <c r="E429" s="4"/>
      <c r="F429" s="4"/>
    </row>
    <row r="430">
      <c r="A430" s="2"/>
      <c r="B430" s="4"/>
      <c r="C430" s="4"/>
      <c r="D430" s="4"/>
      <c r="E430" s="4"/>
      <c r="F430" s="4"/>
    </row>
    <row r="431">
      <c r="A431" s="2"/>
      <c r="B431" s="4"/>
      <c r="C431" s="4"/>
      <c r="D431" s="4"/>
      <c r="E431" s="4"/>
      <c r="F431" s="4"/>
    </row>
    <row r="432">
      <c r="A432" s="2"/>
      <c r="B432" s="4"/>
      <c r="C432" s="4"/>
      <c r="D432" s="4"/>
      <c r="E432" s="4"/>
      <c r="F432" s="4"/>
    </row>
    <row r="433">
      <c r="A433" s="2"/>
      <c r="B433" s="4"/>
      <c r="C433" s="4"/>
      <c r="D433" s="4"/>
      <c r="E433" s="4"/>
      <c r="F433" s="4"/>
    </row>
    <row r="434">
      <c r="A434" s="2"/>
      <c r="B434" s="4"/>
      <c r="C434" s="4"/>
      <c r="D434" s="4"/>
      <c r="E434" s="4"/>
      <c r="F434" s="4"/>
    </row>
    <row r="435">
      <c r="A435" s="2"/>
      <c r="B435" s="4"/>
      <c r="C435" s="4"/>
      <c r="D435" s="4"/>
      <c r="E435" s="4"/>
      <c r="F435" s="4"/>
    </row>
    <row r="436">
      <c r="A436" s="2"/>
      <c r="B436" s="4"/>
      <c r="C436" s="4"/>
      <c r="D436" s="4"/>
      <c r="E436" s="4"/>
      <c r="F436" s="4"/>
    </row>
    <row r="437">
      <c r="A437" s="2"/>
      <c r="B437" s="4"/>
      <c r="C437" s="4"/>
      <c r="D437" s="4"/>
      <c r="E437" s="4"/>
      <c r="F437" s="4"/>
    </row>
    <row r="438">
      <c r="A438" s="2"/>
      <c r="B438" s="4"/>
      <c r="C438" s="4"/>
      <c r="D438" s="4"/>
      <c r="E438" s="4"/>
      <c r="F438" s="4"/>
    </row>
    <row r="439">
      <c r="A439" s="2"/>
      <c r="B439" s="4"/>
      <c r="C439" s="4"/>
      <c r="D439" s="4"/>
      <c r="E439" s="4"/>
      <c r="F439" s="4"/>
    </row>
    <row r="440">
      <c r="A440" s="2"/>
      <c r="B440" s="4"/>
      <c r="C440" s="4"/>
      <c r="D440" s="4"/>
      <c r="E440" s="4"/>
      <c r="F440" s="4"/>
    </row>
    <row r="441">
      <c r="A441" s="2"/>
      <c r="B441" s="4"/>
      <c r="C441" s="4"/>
      <c r="D441" s="4"/>
      <c r="E441" s="4"/>
      <c r="F441" s="4"/>
    </row>
    <row r="442">
      <c r="A442" s="2"/>
      <c r="B442" s="4"/>
      <c r="C442" s="4"/>
      <c r="D442" s="4"/>
      <c r="E442" s="4"/>
      <c r="F442" s="4"/>
    </row>
    <row r="443">
      <c r="A443" s="2"/>
      <c r="B443" s="4"/>
      <c r="C443" s="4"/>
      <c r="D443" s="4"/>
      <c r="E443" s="4"/>
      <c r="F443" s="4"/>
    </row>
    <row r="444">
      <c r="A444" s="2"/>
      <c r="B444" s="4"/>
      <c r="C444" s="4"/>
      <c r="D444" s="4"/>
      <c r="E444" s="4"/>
      <c r="F444" s="4"/>
    </row>
    <row r="445">
      <c r="A445" s="2"/>
      <c r="B445" s="4"/>
      <c r="C445" s="4"/>
      <c r="D445" s="4"/>
      <c r="E445" s="4"/>
      <c r="F445" s="4"/>
    </row>
    <row r="446">
      <c r="A446" s="2"/>
      <c r="B446" s="4"/>
      <c r="C446" s="4"/>
      <c r="D446" s="4"/>
      <c r="E446" s="4"/>
      <c r="F446" s="4"/>
    </row>
    <row r="447">
      <c r="A447" s="2"/>
      <c r="B447" s="4"/>
      <c r="C447" s="4"/>
      <c r="D447" s="4"/>
      <c r="E447" s="4"/>
      <c r="F447" s="4"/>
    </row>
    <row r="448">
      <c r="A448" s="2"/>
      <c r="B448" s="4"/>
      <c r="C448" s="4"/>
      <c r="D448" s="4"/>
      <c r="E448" s="4"/>
      <c r="F448" s="4"/>
    </row>
    <row r="449">
      <c r="A449" s="2"/>
      <c r="B449" s="4"/>
      <c r="C449" s="4"/>
      <c r="D449" s="4"/>
      <c r="E449" s="4"/>
      <c r="F449" s="4"/>
    </row>
    <row r="450">
      <c r="A450" s="2"/>
      <c r="B450" s="4"/>
      <c r="C450" s="4"/>
      <c r="D450" s="4"/>
      <c r="E450" s="4"/>
      <c r="F450" s="4"/>
    </row>
    <row r="451">
      <c r="A451" s="2"/>
      <c r="B451" s="4"/>
      <c r="C451" s="4"/>
      <c r="D451" s="4"/>
      <c r="E451" s="4"/>
      <c r="F451" s="4"/>
    </row>
    <row r="452">
      <c r="A452" s="2"/>
      <c r="B452" s="4"/>
      <c r="C452" s="4"/>
      <c r="D452" s="4"/>
      <c r="E452" s="4"/>
      <c r="F452" s="4"/>
    </row>
    <row r="453">
      <c r="A453" s="2"/>
      <c r="B453" s="4"/>
      <c r="C453" s="4"/>
      <c r="D453" s="4"/>
      <c r="E453" s="4"/>
      <c r="F453" s="4"/>
    </row>
    <row r="454">
      <c r="A454" s="2"/>
      <c r="B454" s="4"/>
      <c r="C454" s="4"/>
      <c r="D454" s="4"/>
      <c r="E454" s="4"/>
      <c r="F454" s="4"/>
    </row>
    <row r="455">
      <c r="A455" s="2"/>
      <c r="B455" s="4"/>
      <c r="C455" s="4"/>
      <c r="D455" s="4"/>
      <c r="E455" s="4"/>
      <c r="F455" s="4"/>
    </row>
    <row r="456">
      <c r="A456" s="2"/>
      <c r="B456" s="4"/>
      <c r="C456" s="4"/>
      <c r="D456" s="4"/>
      <c r="E456" s="4"/>
      <c r="F456" s="4"/>
    </row>
    <row r="457">
      <c r="A457" s="2"/>
      <c r="B457" s="4"/>
      <c r="C457" s="4"/>
      <c r="D457" s="4"/>
      <c r="E457" s="4"/>
      <c r="F457" s="4"/>
    </row>
    <row r="458">
      <c r="A458" s="2"/>
      <c r="B458" s="4"/>
      <c r="C458" s="4"/>
      <c r="D458" s="4"/>
      <c r="E458" s="4"/>
      <c r="F458" s="4"/>
    </row>
    <row r="459">
      <c r="A459" s="2"/>
      <c r="B459" s="4"/>
      <c r="C459" s="4"/>
      <c r="D459" s="4"/>
      <c r="E459" s="4"/>
      <c r="F459" s="4"/>
    </row>
    <row r="460">
      <c r="A460" s="2"/>
      <c r="B460" s="4"/>
      <c r="C460" s="4"/>
      <c r="D460" s="4"/>
      <c r="E460" s="4"/>
      <c r="F460" s="4"/>
    </row>
    <row r="461">
      <c r="A461" s="2"/>
      <c r="B461" s="4"/>
      <c r="C461" s="4"/>
      <c r="D461" s="4"/>
      <c r="E461" s="4"/>
      <c r="F461" s="4"/>
    </row>
    <row r="462">
      <c r="A462" s="2"/>
      <c r="B462" s="4"/>
      <c r="C462" s="4"/>
      <c r="D462" s="4"/>
      <c r="E462" s="4"/>
      <c r="F462" s="4"/>
    </row>
    <row r="463">
      <c r="A463" s="2"/>
      <c r="B463" s="4"/>
      <c r="C463" s="4"/>
      <c r="D463" s="4"/>
      <c r="E463" s="4"/>
      <c r="F463" s="4"/>
    </row>
    <row r="464">
      <c r="A464" s="2"/>
      <c r="B464" s="4"/>
      <c r="C464" s="4"/>
      <c r="D464" s="4"/>
      <c r="E464" s="4"/>
      <c r="F464" s="4"/>
    </row>
    <row r="465">
      <c r="A465" s="2"/>
      <c r="B465" s="4"/>
      <c r="C465" s="4"/>
      <c r="D465" s="4"/>
      <c r="E465" s="4"/>
      <c r="F465" s="4"/>
    </row>
    <row r="466">
      <c r="A466" s="2"/>
      <c r="B466" s="4"/>
      <c r="C466" s="4"/>
      <c r="D466" s="4"/>
      <c r="E466" s="4"/>
      <c r="F466" s="4"/>
    </row>
    <row r="467">
      <c r="A467" s="2"/>
      <c r="B467" s="4"/>
      <c r="C467" s="4"/>
      <c r="D467" s="4"/>
      <c r="E467" s="4"/>
      <c r="F467" s="4"/>
    </row>
    <row r="468">
      <c r="A468" s="2"/>
      <c r="B468" s="4"/>
      <c r="C468" s="4"/>
      <c r="D468" s="4"/>
      <c r="E468" s="4"/>
      <c r="F468" s="4"/>
    </row>
    <row r="469">
      <c r="A469" s="2"/>
      <c r="B469" s="4"/>
      <c r="C469" s="4"/>
      <c r="D469" s="4"/>
      <c r="E469" s="4"/>
      <c r="F469" s="4"/>
    </row>
    <row r="470">
      <c r="A470" s="2"/>
      <c r="B470" s="4"/>
      <c r="C470" s="4"/>
      <c r="D470" s="4"/>
      <c r="E470" s="4"/>
      <c r="F470" s="4"/>
    </row>
    <row r="471">
      <c r="A471" s="2"/>
      <c r="B471" s="4"/>
      <c r="C471" s="4"/>
      <c r="D471" s="4"/>
      <c r="E471" s="4"/>
      <c r="F471" s="4"/>
    </row>
    <row r="472">
      <c r="A472" s="2"/>
      <c r="B472" s="4"/>
      <c r="C472" s="4"/>
      <c r="D472" s="4"/>
      <c r="E472" s="4"/>
      <c r="F472" s="4"/>
    </row>
    <row r="473">
      <c r="A473" s="2"/>
      <c r="B473" s="4"/>
      <c r="C473" s="4"/>
      <c r="D473" s="4"/>
      <c r="E473" s="4"/>
      <c r="F473" s="4"/>
    </row>
    <row r="474">
      <c r="A474" s="2"/>
      <c r="B474" s="4"/>
      <c r="C474" s="4"/>
      <c r="D474" s="4"/>
      <c r="E474" s="4"/>
      <c r="F474" s="4"/>
    </row>
    <row r="475">
      <c r="A475" s="2"/>
      <c r="B475" s="4"/>
      <c r="C475" s="4"/>
      <c r="D475" s="4"/>
      <c r="E475" s="4"/>
      <c r="F475" s="4"/>
    </row>
    <row r="476">
      <c r="A476" s="2"/>
      <c r="B476" s="4"/>
      <c r="C476" s="4"/>
      <c r="D476" s="4"/>
      <c r="E476" s="4"/>
      <c r="F476" s="4"/>
    </row>
    <row r="477">
      <c r="A477" s="2"/>
      <c r="B477" s="4"/>
      <c r="C477" s="4"/>
      <c r="D477" s="4"/>
      <c r="E477" s="4"/>
      <c r="F477" s="4"/>
    </row>
    <row r="478">
      <c r="A478" s="2"/>
      <c r="B478" s="4"/>
      <c r="C478" s="4"/>
      <c r="D478" s="4"/>
      <c r="E478" s="4"/>
      <c r="F478" s="4"/>
    </row>
    <row r="479">
      <c r="A479" s="2"/>
      <c r="B479" s="4"/>
      <c r="C479" s="4"/>
      <c r="D479" s="4"/>
      <c r="E479" s="4"/>
      <c r="F479" s="4"/>
    </row>
    <row r="480">
      <c r="A480" s="2"/>
      <c r="B480" s="4"/>
      <c r="C480" s="4"/>
      <c r="D480" s="4"/>
      <c r="E480" s="4"/>
      <c r="F480" s="4"/>
    </row>
    <row r="481">
      <c r="A481" s="2"/>
      <c r="B481" s="4"/>
      <c r="C481" s="4"/>
      <c r="D481" s="4"/>
      <c r="E481" s="4"/>
      <c r="F481" s="4"/>
    </row>
    <row r="482">
      <c r="A482" s="2"/>
      <c r="B482" s="4"/>
      <c r="C482" s="4"/>
      <c r="D482" s="4"/>
      <c r="E482" s="4"/>
      <c r="F482" s="4"/>
    </row>
    <row r="483">
      <c r="A483" s="2"/>
      <c r="B483" s="4"/>
      <c r="C483" s="4"/>
      <c r="D483" s="4"/>
      <c r="E483" s="4"/>
      <c r="F483" s="4"/>
    </row>
    <row r="484">
      <c r="A484" s="2"/>
      <c r="B484" s="4"/>
      <c r="C484" s="4"/>
      <c r="D484" s="4"/>
      <c r="E484" s="4"/>
      <c r="F484" s="4"/>
    </row>
    <row r="485">
      <c r="A485" s="2"/>
      <c r="B485" s="4"/>
      <c r="C485" s="4"/>
      <c r="D485" s="4"/>
      <c r="E485" s="4"/>
      <c r="F485" s="4"/>
    </row>
    <row r="486">
      <c r="A486" s="2"/>
      <c r="B486" s="4"/>
      <c r="C486" s="4"/>
      <c r="D486" s="4"/>
      <c r="E486" s="4"/>
      <c r="F486" s="4"/>
    </row>
    <row r="487">
      <c r="A487" s="2"/>
      <c r="B487" s="4"/>
      <c r="C487" s="4"/>
      <c r="D487" s="4"/>
      <c r="E487" s="4"/>
      <c r="F487" s="4"/>
    </row>
    <row r="488">
      <c r="A488" s="2"/>
      <c r="B488" s="4"/>
      <c r="C488" s="4"/>
      <c r="D488" s="4"/>
      <c r="E488" s="4"/>
      <c r="F488" s="4"/>
    </row>
    <row r="489">
      <c r="A489" s="2"/>
      <c r="B489" s="4"/>
      <c r="C489" s="4"/>
      <c r="D489" s="4"/>
      <c r="E489" s="4"/>
      <c r="F489" s="4"/>
    </row>
    <row r="490">
      <c r="A490" s="2"/>
      <c r="B490" s="4"/>
      <c r="C490" s="4"/>
      <c r="D490" s="4"/>
      <c r="E490" s="4"/>
      <c r="F490" s="4"/>
    </row>
    <row r="491">
      <c r="A491" s="2"/>
      <c r="B491" s="4"/>
      <c r="C491" s="4"/>
      <c r="D491" s="4"/>
      <c r="E491" s="4"/>
      <c r="F491" s="4"/>
    </row>
    <row r="492">
      <c r="A492" s="2"/>
      <c r="B492" s="4"/>
      <c r="C492" s="4"/>
      <c r="D492" s="4"/>
      <c r="E492" s="4"/>
      <c r="F492" s="4"/>
    </row>
    <row r="493">
      <c r="A493" s="2"/>
      <c r="B493" s="4"/>
      <c r="C493" s="4"/>
      <c r="D493" s="4"/>
      <c r="E493" s="4"/>
      <c r="F493" s="4"/>
    </row>
    <row r="494">
      <c r="A494" s="2"/>
      <c r="B494" s="4"/>
      <c r="C494" s="4"/>
      <c r="D494" s="4"/>
      <c r="E494" s="4"/>
      <c r="F494" s="4"/>
    </row>
    <row r="495">
      <c r="A495" s="2"/>
      <c r="B495" s="4"/>
      <c r="C495" s="4"/>
      <c r="D495" s="4"/>
      <c r="E495" s="4"/>
      <c r="F495" s="4"/>
    </row>
    <row r="496">
      <c r="A496" s="2"/>
      <c r="B496" s="4"/>
      <c r="C496" s="4"/>
      <c r="D496" s="4"/>
      <c r="E496" s="4"/>
      <c r="F496" s="4"/>
    </row>
    <row r="497">
      <c r="A497" s="2"/>
      <c r="B497" s="4"/>
      <c r="C497" s="4"/>
      <c r="D497" s="4"/>
      <c r="E497" s="4"/>
      <c r="F497" s="4"/>
    </row>
    <row r="498">
      <c r="A498" s="2"/>
      <c r="B498" s="4"/>
      <c r="C498" s="4"/>
      <c r="D498" s="4"/>
      <c r="E498" s="4"/>
      <c r="F498" s="4"/>
    </row>
    <row r="499">
      <c r="A499" s="2"/>
      <c r="B499" s="4"/>
      <c r="C499" s="4"/>
      <c r="D499" s="4"/>
      <c r="E499" s="4"/>
      <c r="F499" s="4"/>
    </row>
    <row r="500">
      <c r="A500" s="2"/>
      <c r="B500" s="4"/>
      <c r="C500" s="4"/>
      <c r="D500" s="4"/>
      <c r="E500" s="4"/>
      <c r="F500" s="4"/>
    </row>
    <row r="501">
      <c r="A501" s="2"/>
      <c r="B501" s="4"/>
      <c r="C501" s="4"/>
      <c r="D501" s="4"/>
      <c r="E501" s="4"/>
      <c r="F501" s="4"/>
    </row>
    <row r="502">
      <c r="A502" s="2"/>
      <c r="B502" s="4"/>
      <c r="C502" s="4"/>
      <c r="D502" s="4"/>
      <c r="E502" s="4"/>
      <c r="F502" s="4"/>
    </row>
    <row r="503">
      <c r="A503" s="2"/>
      <c r="B503" s="4"/>
      <c r="C503" s="4"/>
      <c r="D503" s="4"/>
      <c r="E503" s="4"/>
      <c r="F503" s="4"/>
    </row>
    <row r="504">
      <c r="A504" s="2"/>
      <c r="B504" s="4"/>
      <c r="C504" s="4"/>
      <c r="D504" s="4"/>
      <c r="E504" s="4"/>
      <c r="F504" s="4"/>
    </row>
    <row r="505">
      <c r="A505" s="2"/>
      <c r="B505" s="4"/>
      <c r="C505" s="4"/>
      <c r="D505" s="4"/>
      <c r="E505" s="4"/>
      <c r="F505" s="4"/>
    </row>
    <row r="506">
      <c r="A506" s="2"/>
      <c r="B506" s="4"/>
      <c r="C506" s="4"/>
      <c r="D506" s="4"/>
      <c r="E506" s="4"/>
      <c r="F506" s="4"/>
    </row>
    <row r="507">
      <c r="A507" s="2"/>
      <c r="B507" s="4"/>
      <c r="C507" s="4"/>
      <c r="D507" s="4"/>
      <c r="E507" s="4"/>
      <c r="F507" s="4"/>
    </row>
    <row r="508">
      <c r="A508" s="2"/>
      <c r="B508" s="4"/>
      <c r="C508" s="4"/>
      <c r="D508" s="4"/>
      <c r="E508" s="4"/>
      <c r="F508" s="4"/>
    </row>
    <row r="509">
      <c r="A509" s="2"/>
      <c r="B509" s="4"/>
      <c r="C509" s="4"/>
      <c r="D509" s="4"/>
      <c r="E509" s="4"/>
      <c r="F509" s="4"/>
    </row>
    <row r="510">
      <c r="A510" s="2"/>
      <c r="B510" s="4"/>
      <c r="C510" s="4"/>
      <c r="D510" s="4"/>
      <c r="E510" s="4"/>
      <c r="F510" s="4"/>
    </row>
    <row r="511">
      <c r="A511" s="2"/>
      <c r="B511" s="4"/>
      <c r="C511" s="4"/>
      <c r="D511" s="4"/>
      <c r="E511" s="4"/>
      <c r="F511" s="4"/>
    </row>
    <row r="512">
      <c r="A512" s="2"/>
      <c r="B512" s="4"/>
      <c r="C512" s="4"/>
      <c r="D512" s="4"/>
      <c r="E512" s="4"/>
      <c r="F512" s="4"/>
    </row>
    <row r="513">
      <c r="A513" s="2"/>
      <c r="B513" s="4"/>
      <c r="C513" s="4"/>
      <c r="D513" s="4"/>
      <c r="E513" s="4"/>
      <c r="F513" s="4"/>
    </row>
    <row r="514">
      <c r="A514" s="2"/>
      <c r="B514" s="4"/>
      <c r="C514" s="4"/>
      <c r="D514" s="4"/>
      <c r="E514" s="4"/>
      <c r="F514" s="4"/>
    </row>
    <row r="515">
      <c r="A515" s="2"/>
      <c r="B515" s="4"/>
      <c r="C515" s="4"/>
      <c r="D515" s="4"/>
      <c r="E515" s="4"/>
      <c r="F515" s="4"/>
    </row>
    <row r="516">
      <c r="A516" s="2"/>
      <c r="B516" s="4"/>
      <c r="C516" s="4"/>
      <c r="D516" s="4"/>
      <c r="E516" s="4"/>
      <c r="F516" s="4"/>
    </row>
    <row r="517">
      <c r="A517" s="2"/>
      <c r="B517" s="4"/>
      <c r="C517" s="4"/>
      <c r="D517" s="4"/>
      <c r="E517" s="4"/>
      <c r="F517" s="4"/>
    </row>
    <row r="518">
      <c r="A518" s="2"/>
      <c r="B518" s="4"/>
      <c r="C518" s="4"/>
      <c r="D518" s="4"/>
      <c r="E518" s="4"/>
      <c r="F518" s="4"/>
    </row>
    <row r="519">
      <c r="A519" s="2"/>
      <c r="B519" s="4"/>
      <c r="C519" s="4"/>
      <c r="D519" s="4"/>
      <c r="E519" s="4"/>
      <c r="F519" s="4"/>
    </row>
    <row r="520">
      <c r="A520" s="2"/>
      <c r="B520" s="4"/>
      <c r="C520" s="4"/>
      <c r="D520" s="4"/>
      <c r="E520" s="4"/>
      <c r="F520" s="4"/>
    </row>
    <row r="521">
      <c r="A521" s="2"/>
      <c r="B521" s="4"/>
      <c r="C521" s="4"/>
      <c r="D521" s="4"/>
      <c r="E521" s="4"/>
      <c r="F521" s="4"/>
    </row>
    <row r="522">
      <c r="A522" s="2"/>
      <c r="B522" s="4"/>
      <c r="C522" s="4"/>
      <c r="D522" s="4"/>
      <c r="E522" s="4"/>
      <c r="F522" s="4"/>
    </row>
    <row r="523">
      <c r="A523" s="2"/>
      <c r="B523" s="4"/>
      <c r="C523" s="4"/>
      <c r="D523" s="4"/>
      <c r="E523" s="4"/>
      <c r="F523" s="4"/>
    </row>
    <row r="524">
      <c r="A524" s="2"/>
      <c r="B524" s="4"/>
      <c r="C524" s="4"/>
      <c r="D524" s="4"/>
      <c r="E524" s="4"/>
      <c r="F524" s="4"/>
    </row>
    <row r="525">
      <c r="A525" s="2"/>
      <c r="B525" s="4"/>
      <c r="C525" s="4"/>
      <c r="D525" s="4"/>
      <c r="E525" s="4"/>
      <c r="F525" s="4"/>
    </row>
    <row r="526">
      <c r="A526" s="2"/>
      <c r="B526" s="4"/>
      <c r="C526" s="4"/>
      <c r="D526" s="4"/>
      <c r="E526" s="4"/>
      <c r="F526" s="4"/>
    </row>
    <row r="527">
      <c r="A527" s="2"/>
      <c r="B527" s="4"/>
      <c r="C527" s="4"/>
      <c r="D527" s="4"/>
      <c r="E527" s="4"/>
      <c r="F527" s="4"/>
    </row>
    <row r="528">
      <c r="A528" s="2"/>
      <c r="B528" s="4"/>
      <c r="C528" s="4"/>
      <c r="D528" s="4"/>
      <c r="E528" s="4"/>
      <c r="F528" s="4"/>
    </row>
    <row r="529">
      <c r="A529" s="2"/>
      <c r="B529" s="4"/>
      <c r="C529" s="4"/>
      <c r="D529" s="4"/>
      <c r="E529" s="4"/>
      <c r="F529" s="4"/>
    </row>
    <row r="530">
      <c r="A530" s="2"/>
      <c r="B530" s="4"/>
      <c r="C530" s="4"/>
      <c r="D530" s="4"/>
      <c r="E530" s="4"/>
      <c r="F530" s="4"/>
    </row>
    <row r="531">
      <c r="A531" s="2"/>
      <c r="B531" s="4"/>
      <c r="C531" s="4"/>
      <c r="D531" s="4"/>
      <c r="E531" s="4"/>
      <c r="F531" s="4"/>
    </row>
    <row r="532">
      <c r="A532" s="2"/>
      <c r="B532" s="4"/>
      <c r="C532" s="4"/>
      <c r="D532" s="4"/>
      <c r="E532" s="4"/>
      <c r="F532" s="4"/>
    </row>
    <row r="533">
      <c r="A533" s="2"/>
      <c r="B533" s="4"/>
      <c r="C533" s="4"/>
      <c r="D533" s="4"/>
      <c r="E533" s="4"/>
      <c r="F533" s="4"/>
    </row>
    <row r="534">
      <c r="A534" s="2"/>
      <c r="B534" s="4"/>
      <c r="C534" s="4"/>
      <c r="D534" s="4"/>
      <c r="E534" s="4"/>
      <c r="F534" s="4"/>
    </row>
    <row r="535">
      <c r="A535" s="2"/>
      <c r="B535" s="4"/>
      <c r="C535" s="4"/>
      <c r="D535" s="4"/>
      <c r="E535" s="4"/>
      <c r="F535" s="4"/>
    </row>
    <row r="536">
      <c r="A536" s="2"/>
      <c r="B536" s="4"/>
      <c r="C536" s="4"/>
      <c r="D536" s="4"/>
      <c r="E536" s="4"/>
      <c r="F536" s="4"/>
    </row>
    <row r="537">
      <c r="A537" s="2"/>
      <c r="B537" s="4"/>
      <c r="C537" s="4"/>
      <c r="D537" s="4"/>
      <c r="E537" s="4"/>
      <c r="F537" s="4"/>
    </row>
    <row r="538">
      <c r="A538" s="2"/>
      <c r="B538" s="4"/>
      <c r="C538" s="4"/>
      <c r="D538" s="4"/>
      <c r="E538" s="4"/>
      <c r="F538" s="4"/>
    </row>
    <row r="539">
      <c r="A539" s="2"/>
      <c r="B539" s="4"/>
      <c r="C539" s="4"/>
      <c r="D539" s="4"/>
      <c r="E539" s="4"/>
      <c r="F539" s="4"/>
    </row>
    <row r="540">
      <c r="A540" s="2"/>
      <c r="B540" s="4"/>
      <c r="C540" s="4"/>
      <c r="D540" s="4"/>
      <c r="E540" s="4"/>
      <c r="F540" s="4"/>
    </row>
    <row r="541">
      <c r="A541" s="2"/>
      <c r="B541" s="4"/>
      <c r="C541" s="4"/>
      <c r="D541" s="4"/>
      <c r="E541" s="4"/>
      <c r="F541" s="4"/>
    </row>
    <row r="542">
      <c r="A542" s="2"/>
      <c r="B542" s="4"/>
      <c r="C542" s="4"/>
      <c r="D542" s="4"/>
      <c r="E542" s="4"/>
      <c r="F542" s="4"/>
    </row>
    <row r="543">
      <c r="A543" s="2"/>
      <c r="B543" s="4"/>
      <c r="C543" s="4"/>
      <c r="D543" s="4"/>
      <c r="E543" s="4"/>
      <c r="F543" s="4"/>
    </row>
    <row r="544">
      <c r="A544" s="2"/>
      <c r="B544" s="4"/>
      <c r="C544" s="4"/>
      <c r="D544" s="4"/>
      <c r="E544" s="4"/>
      <c r="F544" s="4"/>
    </row>
    <row r="545">
      <c r="A545" s="2"/>
      <c r="B545" s="4"/>
      <c r="C545" s="4"/>
      <c r="D545" s="4"/>
      <c r="E545" s="4"/>
      <c r="F545" s="4"/>
    </row>
    <row r="546">
      <c r="A546" s="2"/>
      <c r="B546" s="4"/>
      <c r="C546" s="4"/>
      <c r="D546" s="4"/>
      <c r="E546" s="4"/>
      <c r="F546" s="4"/>
    </row>
    <row r="547">
      <c r="A547" s="2"/>
      <c r="B547" s="4"/>
      <c r="C547" s="4"/>
      <c r="D547" s="4"/>
      <c r="E547" s="4"/>
      <c r="F547" s="4"/>
    </row>
    <row r="548">
      <c r="A548" s="2"/>
      <c r="B548" s="4"/>
      <c r="C548" s="4"/>
      <c r="D548" s="4"/>
      <c r="E548" s="4"/>
      <c r="F548" s="4"/>
    </row>
    <row r="549">
      <c r="A549" s="2"/>
      <c r="B549" s="4"/>
      <c r="C549" s="4"/>
      <c r="D549" s="4"/>
      <c r="E549" s="4"/>
      <c r="F549" s="4"/>
    </row>
    <row r="550">
      <c r="A550" s="2"/>
      <c r="B550" s="4"/>
      <c r="C550" s="4"/>
      <c r="D550" s="4"/>
      <c r="E550" s="4"/>
      <c r="F550" s="4"/>
    </row>
    <row r="551">
      <c r="A551" s="2"/>
      <c r="B551" s="4"/>
      <c r="C551" s="4"/>
      <c r="D551" s="4"/>
      <c r="E551" s="4"/>
      <c r="F551" s="4"/>
    </row>
    <row r="552">
      <c r="A552" s="2"/>
      <c r="B552" s="4"/>
      <c r="C552" s="4"/>
      <c r="D552" s="4"/>
      <c r="E552" s="4"/>
      <c r="F552" s="4"/>
    </row>
    <row r="553">
      <c r="A553" s="2"/>
      <c r="B553" s="4"/>
      <c r="C553" s="4"/>
      <c r="D553" s="4"/>
      <c r="E553" s="4"/>
      <c r="F553" s="4"/>
    </row>
    <row r="554">
      <c r="A554" s="2"/>
      <c r="B554" s="4"/>
      <c r="C554" s="4"/>
      <c r="D554" s="4"/>
      <c r="E554" s="4"/>
      <c r="F554" s="4"/>
    </row>
    <row r="555">
      <c r="A555" s="2"/>
      <c r="B555" s="4"/>
      <c r="C555" s="4"/>
      <c r="D555" s="4"/>
      <c r="E555" s="4"/>
      <c r="F555" s="4"/>
    </row>
    <row r="556">
      <c r="A556" s="2"/>
      <c r="B556" s="4"/>
      <c r="C556" s="4"/>
      <c r="D556" s="4"/>
      <c r="E556" s="4"/>
      <c r="F556" s="4"/>
    </row>
    <row r="557">
      <c r="A557" s="2"/>
      <c r="B557" s="4"/>
      <c r="C557" s="4"/>
      <c r="D557" s="4"/>
      <c r="E557" s="4"/>
      <c r="F557" s="4"/>
    </row>
    <row r="558">
      <c r="A558" s="2"/>
      <c r="B558" s="4"/>
      <c r="C558" s="4"/>
      <c r="D558" s="4"/>
      <c r="E558" s="4"/>
      <c r="F558" s="4"/>
    </row>
    <row r="559">
      <c r="A559" s="2"/>
      <c r="B559" s="4"/>
      <c r="C559" s="4"/>
      <c r="D559" s="4"/>
      <c r="E559" s="4"/>
      <c r="F559" s="4"/>
    </row>
    <row r="560">
      <c r="A560" s="2"/>
      <c r="B560" s="4"/>
      <c r="C560" s="4"/>
      <c r="D560" s="4"/>
      <c r="E560" s="4"/>
      <c r="F560" s="4"/>
    </row>
    <row r="561">
      <c r="A561" s="2"/>
      <c r="B561" s="4"/>
      <c r="C561" s="4"/>
      <c r="D561" s="4"/>
      <c r="E561" s="4"/>
      <c r="F561" s="4"/>
    </row>
    <row r="562">
      <c r="A562" s="2"/>
      <c r="B562" s="4"/>
      <c r="C562" s="4"/>
      <c r="D562" s="4"/>
      <c r="E562" s="4"/>
      <c r="F562" s="4"/>
    </row>
    <row r="563">
      <c r="A563" s="2"/>
      <c r="B563" s="4"/>
      <c r="C563" s="4"/>
      <c r="D563" s="4"/>
      <c r="E563" s="4"/>
      <c r="F563" s="4"/>
    </row>
    <row r="564">
      <c r="A564" s="2"/>
      <c r="B564" s="4"/>
      <c r="C564" s="4"/>
      <c r="D564" s="4"/>
      <c r="E564" s="4"/>
      <c r="F564" s="4"/>
    </row>
    <row r="565">
      <c r="A565" s="2"/>
      <c r="B565" s="4"/>
      <c r="C565" s="4"/>
      <c r="D565" s="4"/>
      <c r="E565" s="4"/>
      <c r="F565" s="4"/>
    </row>
    <row r="566">
      <c r="A566" s="2"/>
      <c r="B566" s="4"/>
      <c r="C566" s="4"/>
      <c r="D566" s="4"/>
      <c r="E566" s="4"/>
      <c r="F566" s="4"/>
    </row>
    <row r="567">
      <c r="A567" s="2"/>
      <c r="B567" s="4"/>
      <c r="C567" s="4"/>
      <c r="D567" s="4"/>
      <c r="E567" s="4"/>
      <c r="F567" s="4"/>
    </row>
    <row r="568">
      <c r="A568" s="2"/>
      <c r="B568" s="4"/>
      <c r="C568" s="4"/>
      <c r="D568" s="4"/>
      <c r="E568" s="4"/>
      <c r="F568" s="4"/>
    </row>
    <row r="569">
      <c r="A569" s="2"/>
      <c r="B569" s="4"/>
      <c r="C569" s="4"/>
      <c r="D569" s="4"/>
      <c r="E569" s="4"/>
      <c r="F569" s="4"/>
    </row>
    <row r="570">
      <c r="A570" s="2"/>
      <c r="B570" s="4"/>
      <c r="C570" s="4"/>
      <c r="D570" s="4"/>
      <c r="E570" s="4"/>
      <c r="F570" s="4"/>
    </row>
    <row r="571">
      <c r="A571" s="2"/>
      <c r="B571" s="4"/>
      <c r="C571" s="4"/>
      <c r="D571" s="4"/>
      <c r="E571" s="4"/>
      <c r="F571" s="4"/>
    </row>
    <row r="572">
      <c r="A572" s="2"/>
      <c r="B572" s="4"/>
      <c r="C572" s="4"/>
      <c r="D572" s="4"/>
      <c r="E572" s="4"/>
      <c r="F572" s="4"/>
    </row>
    <row r="573">
      <c r="A573" s="2"/>
      <c r="B573" s="4"/>
      <c r="C573" s="4"/>
      <c r="D573" s="4"/>
      <c r="E573" s="4"/>
      <c r="F573" s="4"/>
    </row>
    <row r="574">
      <c r="A574" s="2"/>
      <c r="B574" s="4"/>
      <c r="C574" s="4"/>
      <c r="D574" s="4"/>
      <c r="E574" s="4"/>
      <c r="F574" s="4"/>
    </row>
    <row r="575">
      <c r="A575" s="2"/>
      <c r="B575" s="4"/>
      <c r="C575" s="4"/>
      <c r="D575" s="4"/>
      <c r="E575" s="4"/>
      <c r="F575" s="4"/>
    </row>
    <row r="576">
      <c r="A576" s="2"/>
      <c r="B576" s="4"/>
      <c r="C576" s="4"/>
      <c r="D576" s="4"/>
      <c r="E576" s="4"/>
      <c r="F576" s="4"/>
    </row>
    <row r="577">
      <c r="A577" s="2"/>
      <c r="B577" s="4"/>
      <c r="C577" s="4"/>
      <c r="D577" s="4"/>
      <c r="E577" s="4"/>
      <c r="F577" s="4"/>
    </row>
    <row r="578">
      <c r="A578" s="2"/>
      <c r="B578" s="4"/>
      <c r="C578" s="4"/>
      <c r="D578" s="4"/>
      <c r="E578" s="4"/>
      <c r="F578" s="4"/>
    </row>
    <row r="579">
      <c r="A579" s="2"/>
      <c r="B579" s="4"/>
      <c r="C579" s="4"/>
      <c r="D579" s="4"/>
      <c r="E579" s="4"/>
      <c r="F579" s="4"/>
    </row>
    <row r="580">
      <c r="A580" s="2"/>
      <c r="B580" s="4"/>
      <c r="C580" s="4"/>
      <c r="D580" s="4"/>
      <c r="E580" s="4"/>
      <c r="F580" s="4"/>
    </row>
    <row r="581">
      <c r="A581" s="2"/>
      <c r="B581" s="4"/>
      <c r="C581" s="4"/>
      <c r="D581" s="4"/>
      <c r="E581" s="4"/>
      <c r="F581" s="4"/>
    </row>
    <row r="582">
      <c r="A582" s="2"/>
      <c r="B582" s="4"/>
      <c r="C582" s="4"/>
      <c r="D582" s="4"/>
      <c r="E582" s="4"/>
      <c r="F582" s="4"/>
    </row>
    <row r="583">
      <c r="A583" s="2"/>
      <c r="B583" s="4"/>
      <c r="C583" s="4"/>
      <c r="D583" s="4"/>
      <c r="E583" s="4"/>
      <c r="F583" s="4"/>
    </row>
    <row r="584">
      <c r="A584" s="2"/>
      <c r="B584" s="4"/>
      <c r="C584" s="4"/>
      <c r="D584" s="4"/>
      <c r="E584" s="4"/>
      <c r="F584" s="4"/>
    </row>
    <row r="585">
      <c r="A585" s="2"/>
      <c r="B585" s="4"/>
      <c r="C585" s="4"/>
      <c r="D585" s="4"/>
      <c r="E585" s="4"/>
      <c r="F585" s="4"/>
    </row>
    <row r="586">
      <c r="A586" s="2"/>
      <c r="B586" s="4"/>
      <c r="C586" s="4"/>
      <c r="D586" s="4"/>
      <c r="E586" s="4"/>
      <c r="F586" s="4"/>
    </row>
    <row r="587">
      <c r="A587" s="2"/>
      <c r="B587" s="4"/>
      <c r="C587" s="4"/>
      <c r="D587" s="4"/>
      <c r="E587" s="4"/>
      <c r="F587" s="4"/>
    </row>
    <row r="588">
      <c r="A588" s="2"/>
      <c r="B588" s="4"/>
      <c r="C588" s="4"/>
      <c r="D588" s="4"/>
      <c r="E588" s="4"/>
      <c r="F588" s="4"/>
    </row>
    <row r="589">
      <c r="A589" s="2"/>
      <c r="B589" s="4"/>
      <c r="C589" s="4"/>
      <c r="D589" s="4"/>
      <c r="E589" s="4"/>
      <c r="F589" s="4"/>
    </row>
    <row r="590">
      <c r="A590" s="2"/>
      <c r="B590" s="4"/>
      <c r="C590" s="4"/>
      <c r="D590" s="4"/>
      <c r="E590" s="4"/>
      <c r="F590" s="4"/>
    </row>
    <row r="591">
      <c r="A591" s="2"/>
      <c r="B591" s="4"/>
      <c r="C591" s="4"/>
      <c r="D591" s="4"/>
      <c r="E591" s="4"/>
      <c r="F591" s="4"/>
    </row>
    <row r="592">
      <c r="A592" s="2"/>
      <c r="B592" s="4"/>
      <c r="C592" s="4"/>
      <c r="D592" s="4"/>
      <c r="E592" s="4"/>
      <c r="F592" s="4"/>
    </row>
    <row r="593">
      <c r="A593" s="2"/>
      <c r="B593" s="4"/>
      <c r="C593" s="4"/>
      <c r="D593" s="4"/>
      <c r="E593" s="4"/>
      <c r="F593" s="4"/>
    </row>
    <row r="594">
      <c r="A594" s="2"/>
      <c r="B594" s="4"/>
      <c r="C594" s="4"/>
      <c r="D594" s="4"/>
      <c r="E594" s="4"/>
      <c r="F594" s="4"/>
    </row>
    <row r="595">
      <c r="A595" s="2"/>
      <c r="B595" s="4"/>
      <c r="C595" s="4"/>
      <c r="D595" s="4"/>
      <c r="E595" s="4"/>
      <c r="F595" s="4"/>
    </row>
    <row r="596">
      <c r="A596" s="2"/>
      <c r="B596" s="4"/>
      <c r="C596" s="4"/>
      <c r="D596" s="4"/>
      <c r="E596" s="4"/>
      <c r="F596" s="4"/>
    </row>
    <row r="597">
      <c r="A597" s="2"/>
      <c r="B597" s="4"/>
      <c r="C597" s="4"/>
      <c r="D597" s="4"/>
      <c r="E597" s="4"/>
      <c r="F597" s="4"/>
    </row>
    <row r="598">
      <c r="A598" s="2"/>
      <c r="B598" s="4"/>
      <c r="C598" s="4"/>
      <c r="D598" s="4"/>
      <c r="E598" s="4"/>
      <c r="F598" s="4"/>
    </row>
    <row r="599">
      <c r="A599" s="2"/>
      <c r="B599" s="4"/>
      <c r="C599" s="4"/>
      <c r="D599" s="4"/>
      <c r="E599" s="4"/>
      <c r="F599" s="4"/>
    </row>
    <row r="600">
      <c r="A600" s="2"/>
      <c r="B600" s="4"/>
      <c r="C600" s="4"/>
      <c r="D600" s="4"/>
      <c r="E600" s="4"/>
      <c r="F600" s="4"/>
    </row>
    <row r="601">
      <c r="A601" s="2"/>
      <c r="B601" s="4"/>
      <c r="C601" s="4"/>
      <c r="D601" s="4"/>
      <c r="E601" s="4"/>
      <c r="F601" s="4"/>
    </row>
    <row r="602">
      <c r="A602" s="2"/>
      <c r="B602" s="4"/>
      <c r="C602" s="4"/>
      <c r="D602" s="4"/>
      <c r="E602" s="4"/>
      <c r="F602" s="4"/>
    </row>
    <row r="603">
      <c r="A603" s="2"/>
      <c r="B603" s="4"/>
      <c r="C603" s="4"/>
      <c r="D603" s="4"/>
      <c r="E603" s="4"/>
      <c r="F603" s="4"/>
    </row>
    <row r="604">
      <c r="A604" s="2"/>
      <c r="B604" s="4"/>
      <c r="C604" s="4"/>
      <c r="D604" s="4"/>
      <c r="E604" s="4"/>
      <c r="F604" s="4"/>
    </row>
    <row r="605">
      <c r="A605" s="2"/>
      <c r="B605" s="4"/>
      <c r="C605" s="4"/>
      <c r="D605" s="4"/>
      <c r="E605" s="4"/>
      <c r="F605" s="4"/>
    </row>
    <row r="606">
      <c r="A606" s="2"/>
      <c r="B606" s="4"/>
      <c r="C606" s="4"/>
      <c r="D606" s="4"/>
      <c r="E606" s="4"/>
      <c r="F606" s="4"/>
    </row>
    <row r="607">
      <c r="A607" s="2"/>
      <c r="B607" s="4"/>
      <c r="C607" s="4"/>
      <c r="D607" s="4"/>
      <c r="E607" s="4"/>
      <c r="F607" s="4"/>
    </row>
    <row r="608">
      <c r="A608" s="2"/>
      <c r="B608" s="4"/>
      <c r="C608" s="4"/>
      <c r="D608" s="4"/>
      <c r="E608" s="4"/>
      <c r="F608" s="4"/>
    </row>
    <row r="609">
      <c r="A609" s="2"/>
      <c r="B609" s="4"/>
      <c r="C609" s="4"/>
      <c r="D609" s="4"/>
      <c r="E609" s="4"/>
      <c r="F609" s="4"/>
    </row>
    <row r="610">
      <c r="A610" s="2"/>
      <c r="B610" s="4"/>
      <c r="C610" s="4"/>
      <c r="D610" s="4"/>
      <c r="E610" s="4"/>
      <c r="F610" s="4"/>
    </row>
    <row r="611">
      <c r="A611" s="2"/>
      <c r="B611" s="4"/>
      <c r="C611" s="4"/>
      <c r="D611" s="4"/>
      <c r="E611" s="4"/>
      <c r="F611" s="4"/>
    </row>
    <row r="612">
      <c r="A612" s="2"/>
      <c r="B612" s="4"/>
      <c r="C612" s="4"/>
      <c r="D612" s="4"/>
      <c r="E612" s="4"/>
      <c r="F612" s="4"/>
    </row>
    <row r="613">
      <c r="A613" s="2"/>
      <c r="B613" s="4"/>
      <c r="C613" s="4"/>
      <c r="D613" s="4"/>
      <c r="E613" s="4"/>
      <c r="F613" s="4"/>
    </row>
    <row r="614">
      <c r="A614" s="2"/>
      <c r="B614" s="4"/>
      <c r="C614" s="4"/>
      <c r="D614" s="4"/>
      <c r="E614" s="4"/>
      <c r="F614" s="4"/>
    </row>
    <row r="615">
      <c r="A615" s="2"/>
      <c r="B615" s="4"/>
      <c r="C615" s="4"/>
      <c r="D615" s="4"/>
      <c r="E615" s="4"/>
      <c r="F615" s="4"/>
    </row>
    <row r="616">
      <c r="A616" s="2"/>
      <c r="B616" s="4"/>
      <c r="C616" s="4"/>
      <c r="D616" s="4"/>
      <c r="E616" s="4"/>
      <c r="F616" s="4"/>
    </row>
    <row r="617">
      <c r="A617" s="2"/>
      <c r="B617" s="4"/>
      <c r="C617" s="4"/>
      <c r="D617" s="4"/>
      <c r="E617" s="4"/>
      <c r="F617" s="4"/>
    </row>
    <row r="618">
      <c r="A618" s="2"/>
      <c r="B618" s="4"/>
      <c r="C618" s="4"/>
      <c r="D618" s="4"/>
      <c r="E618" s="4"/>
      <c r="F618" s="4"/>
    </row>
    <row r="619">
      <c r="A619" s="2"/>
      <c r="B619" s="4"/>
      <c r="C619" s="4"/>
      <c r="D619" s="4"/>
      <c r="E619" s="4"/>
      <c r="F619" s="4"/>
    </row>
    <row r="620">
      <c r="A620" s="2"/>
      <c r="B620" s="4"/>
      <c r="C620" s="4"/>
      <c r="D620" s="4"/>
      <c r="E620" s="4"/>
      <c r="F620" s="4"/>
    </row>
    <row r="621">
      <c r="A621" s="2"/>
      <c r="B621" s="4"/>
      <c r="C621" s="4"/>
      <c r="D621" s="4"/>
      <c r="E621" s="4"/>
      <c r="F621" s="4"/>
    </row>
    <row r="622">
      <c r="A622" s="2"/>
      <c r="B622" s="4"/>
      <c r="C622" s="4"/>
      <c r="D622" s="4"/>
      <c r="E622" s="4"/>
      <c r="F622" s="4"/>
    </row>
    <row r="623">
      <c r="A623" s="2"/>
      <c r="B623" s="4"/>
      <c r="C623" s="4"/>
      <c r="D623" s="4"/>
      <c r="E623" s="4"/>
      <c r="F623" s="4"/>
    </row>
    <row r="624">
      <c r="A624" s="2"/>
      <c r="B624" s="4"/>
      <c r="C624" s="4"/>
      <c r="D624" s="4"/>
      <c r="E624" s="4"/>
      <c r="F624" s="4"/>
    </row>
    <row r="625">
      <c r="A625" s="2"/>
      <c r="B625" s="4"/>
      <c r="C625" s="4"/>
      <c r="D625" s="4"/>
      <c r="E625" s="4"/>
      <c r="F625" s="4"/>
    </row>
    <row r="626">
      <c r="A626" s="2"/>
      <c r="B626" s="4"/>
      <c r="C626" s="4"/>
      <c r="D626" s="4"/>
      <c r="E626" s="4"/>
      <c r="F626" s="4"/>
    </row>
    <row r="627">
      <c r="A627" s="2"/>
      <c r="B627" s="4"/>
      <c r="C627" s="4"/>
      <c r="D627" s="4"/>
      <c r="E627" s="4"/>
      <c r="F627" s="4"/>
    </row>
    <row r="628">
      <c r="A628" s="2"/>
      <c r="B628" s="4"/>
      <c r="C628" s="4"/>
      <c r="D628" s="4"/>
      <c r="E628" s="4"/>
      <c r="F628" s="4"/>
    </row>
    <row r="629">
      <c r="A629" s="2"/>
      <c r="B629" s="4"/>
      <c r="C629" s="4"/>
      <c r="D629" s="4"/>
      <c r="E629" s="4"/>
      <c r="F629" s="4"/>
    </row>
    <row r="630">
      <c r="A630" s="2"/>
      <c r="B630" s="4"/>
      <c r="C630" s="4"/>
      <c r="D630" s="4"/>
      <c r="E630" s="4"/>
      <c r="F630" s="4"/>
    </row>
    <row r="631">
      <c r="A631" s="2"/>
      <c r="B631" s="4"/>
      <c r="C631" s="4"/>
      <c r="D631" s="4"/>
      <c r="E631" s="4"/>
      <c r="F631" s="4"/>
    </row>
    <row r="632">
      <c r="A632" s="2"/>
      <c r="B632" s="4"/>
      <c r="C632" s="4"/>
      <c r="D632" s="4"/>
      <c r="E632" s="4"/>
      <c r="F632" s="4"/>
    </row>
    <row r="633">
      <c r="A633" s="2"/>
      <c r="B633" s="4"/>
      <c r="C633" s="4"/>
      <c r="D633" s="4"/>
      <c r="E633" s="4"/>
      <c r="F633" s="4"/>
    </row>
    <row r="634">
      <c r="A634" s="2"/>
      <c r="B634" s="4"/>
      <c r="C634" s="4"/>
      <c r="D634" s="4"/>
      <c r="E634" s="4"/>
      <c r="F634" s="4"/>
    </row>
    <row r="635">
      <c r="A635" s="2"/>
      <c r="B635" s="4"/>
      <c r="C635" s="4"/>
      <c r="D635" s="4"/>
      <c r="E635" s="4"/>
      <c r="F635" s="4"/>
    </row>
    <row r="636">
      <c r="A636" s="2"/>
      <c r="B636" s="4"/>
      <c r="C636" s="4"/>
      <c r="D636" s="4"/>
      <c r="E636" s="4"/>
      <c r="F636" s="4"/>
    </row>
    <row r="637">
      <c r="A637" s="2"/>
      <c r="B637" s="4"/>
      <c r="C637" s="4"/>
      <c r="D637" s="4"/>
      <c r="E637" s="4"/>
      <c r="F637" s="4"/>
    </row>
    <row r="638">
      <c r="A638" s="2"/>
      <c r="B638" s="4"/>
      <c r="C638" s="4"/>
      <c r="D638" s="4"/>
      <c r="E638" s="4"/>
      <c r="F638" s="4"/>
    </row>
    <row r="639">
      <c r="A639" s="2"/>
      <c r="B639" s="4"/>
      <c r="C639" s="4"/>
      <c r="D639" s="4"/>
      <c r="E639" s="4"/>
      <c r="F639" s="4"/>
    </row>
    <row r="640">
      <c r="A640" s="2"/>
      <c r="B640" s="4"/>
      <c r="C640" s="4"/>
      <c r="D640" s="4"/>
      <c r="E640" s="4"/>
      <c r="F640" s="4"/>
    </row>
    <row r="641">
      <c r="A641" s="2"/>
      <c r="B641" s="4"/>
      <c r="C641" s="4"/>
      <c r="D641" s="4"/>
      <c r="E641" s="4"/>
      <c r="F641" s="4"/>
    </row>
    <row r="642">
      <c r="A642" s="2"/>
      <c r="B642" s="4"/>
      <c r="C642" s="4"/>
      <c r="D642" s="4"/>
      <c r="E642" s="4"/>
      <c r="F642" s="4"/>
    </row>
    <row r="643">
      <c r="A643" s="2"/>
      <c r="B643" s="4"/>
      <c r="C643" s="4"/>
      <c r="D643" s="4"/>
      <c r="E643" s="4"/>
      <c r="F643" s="4"/>
    </row>
    <row r="644">
      <c r="A644" s="2"/>
      <c r="B644" s="4"/>
      <c r="C644" s="4"/>
      <c r="D644" s="4"/>
      <c r="E644" s="4"/>
      <c r="F644" s="4"/>
    </row>
    <row r="645">
      <c r="A645" s="2"/>
      <c r="B645" s="4"/>
      <c r="C645" s="4"/>
      <c r="D645" s="4"/>
      <c r="E645" s="4"/>
      <c r="F645" s="4"/>
    </row>
    <row r="646">
      <c r="A646" s="2"/>
      <c r="B646" s="4"/>
      <c r="C646" s="4"/>
      <c r="D646" s="4"/>
      <c r="E646" s="4"/>
      <c r="F646" s="4"/>
    </row>
    <row r="647">
      <c r="A647" s="2"/>
      <c r="B647" s="4"/>
      <c r="C647" s="4"/>
      <c r="D647" s="4"/>
      <c r="E647" s="4"/>
      <c r="F647" s="4"/>
    </row>
    <row r="648">
      <c r="A648" s="2"/>
      <c r="B648" s="4"/>
      <c r="C648" s="4"/>
      <c r="D648" s="4"/>
      <c r="E648" s="4"/>
      <c r="F648" s="4"/>
    </row>
    <row r="649">
      <c r="A649" s="2"/>
      <c r="B649" s="4"/>
      <c r="C649" s="4"/>
      <c r="D649" s="4"/>
      <c r="E649" s="4"/>
      <c r="F649" s="4"/>
    </row>
    <row r="650">
      <c r="A650" s="2"/>
      <c r="B650" s="4"/>
      <c r="C650" s="4"/>
      <c r="D650" s="4"/>
      <c r="E650" s="4"/>
      <c r="F650" s="4"/>
    </row>
    <row r="651">
      <c r="A651" s="2"/>
      <c r="B651" s="4"/>
      <c r="C651" s="4"/>
      <c r="D651" s="4"/>
      <c r="E651" s="4"/>
      <c r="F651" s="4"/>
    </row>
    <row r="652">
      <c r="A652" s="2"/>
      <c r="B652" s="4"/>
      <c r="C652" s="4"/>
      <c r="D652" s="4"/>
      <c r="E652" s="4"/>
      <c r="F652" s="4"/>
    </row>
    <row r="653">
      <c r="A653" s="2"/>
      <c r="B653" s="4"/>
      <c r="C653" s="4"/>
      <c r="D653" s="4"/>
      <c r="E653" s="4"/>
      <c r="F653" s="4"/>
    </row>
    <row r="654">
      <c r="A654" s="2"/>
      <c r="B654" s="4"/>
      <c r="C654" s="4"/>
      <c r="D654" s="4"/>
      <c r="E654" s="4"/>
      <c r="F654" s="4"/>
    </row>
    <row r="655">
      <c r="A655" s="2"/>
      <c r="B655" s="4"/>
      <c r="C655" s="4"/>
      <c r="D655" s="4"/>
      <c r="E655" s="4"/>
      <c r="F655" s="4"/>
    </row>
    <row r="656">
      <c r="A656" s="2"/>
      <c r="B656" s="4"/>
      <c r="C656" s="4"/>
      <c r="D656" s="4"/>
      <c r="E656" s="4"/>
      <c r="F656" s="4"/>
    </row>
    <row r="657">
      <c r="A657" s="2"/>
      <c r="B657" s="4"/>
      <c r="C657" s="4"/>
      <c r="D657" s="4"/>
      <c r="E657" s="4"/>
      <c r="F657" s="4"/>
    </row>
    <row r="658">
      <c r="A658" s="2"/>
      <c r="B658" s="4"/>
      <c r="C658" s="4"/>
      <c r="D658" s="4"/>
      <c r="E658" s="4"/>
      <c r="F658" s="4"/>
    </row>
    <row r="659">
      <c r="A659" s="2"/>
      <c r="B659" s="4"/>
      <c r="C659" s="4"/>
      <c r="D659" s="4"/>
      <c r="E659" s="4"/>
      <c r="F659" s="4"/>
    </row>
    <row r="660">
      <c r="A660" s="2"/>
      <c r="B660" s="4"/>
      <c r="C660" s="4"/>
      <c r="D660" s="4"/>
      <c r="E660" s="4"/>
      <c r="F660" s="4"/>
    </row>
    <row r="661">
      <c r="A661" s="2"/>
      <c r="B661" s="4"/>
      <c r="C661" s="4"/>
      <c r="D661" s="4"/>
      <c r="E661" s="4"/>
      <c r="F661" s="4"/>
    </row>
    <row r="662">
      <c r="A662" s="2"/>
      <c r="B662" s="4"/>
      <c r="C662" s="4"/>
      <c r="D662" s="4"/>
      <c r="E662" s="4"/>
      <c r="F662" s="4"/>
    </row>
    <row r="663">
      <c r="A663" s="2"/>
      <c r="B663" s="4"/>
      <c r="C663" s="4"/>
      <c r="D663" s="4"/>
      <c r="E663" s="4"/>
      <c r="F663" s="4"/>
    </row>
    <row r="664">
      <c r="A664" s="2"/>
      <c r="B664" s="4"/>
      <c r="C664" s="4"/>
      <c r="D664" s="4"/>
      <c r="E664" s="4"/>
      <c r="F664" s="4"/>
    </row>
    <row r="665">
      <c r="A665" s="2"/>
      <c r="B665" s="4"/>
      <c r="C665" s="4"/>
      <c r="D665" s="4"/>
      <c r="E665" s="4"/>
      <c r="F665" s="4"/>
    </row>
    <row r="666">
      <c r="A666" s="2"/>
      <c r="B666" s="4"/>
      <c r="C666" s="4"/>
      <c r="D666" s="4"/>
      <c r="E666" s="4"/>
      <c r="F666" s="4"/>
    </row>
    <row r="667">
      <c r="A667" s="2"/>
      <c r="B667" s="4"/>
      <c r="C667" s="4"/>
      <c r="D667" s="4"/>
      <c r="E667" s="4"/>
      <c r="F667" s="4"/>
    </row>
    <row r="668">
      <c r="A668" s="2"/>
      <c r="B668" s="4"/>
      <c r="C668" s="4"/>
      <c r="D668" s="4"/>
      <c r="E668" s="4"/>
      <c r="F668" s="4"/>
    </row>
    <row r="669">
      <c r="A669" s="2"/>
      <c r="B669" s="4"/>
      <c r="C669" s="4"/>
      <c r="D669" s="4"/>
      <c r="E669" s="4"/>
      <c r="F669" s="4"/>
    </row>
    <row r="670">
      <c r="A670" s="2"/>
      <c r="B670" s="4"/>
      <c r="C670" s="4"/>
      <c r="D670" s="4"/>
      <c r="E670" s="4"/>
      <c r="F670" s="4"/>
    </row>
    <row r="671">
      <c r="A671" s="2"/>
      <c r="B671" s="4"/>
      <c r="C671" s="4"/>
      <c r="D671" s="4"/>
      <c r="E671" s="4"/>
      <c r="F671" s="4"/>
    </row>
    <row r="672">
      <c r="A672" s="2"/>
      <c r="B672" s="4"/>
      <c r="C672" s="4"/>
      <c r="D672" s="4"/>
      <c r="E672" s="4"/>
      <c r="F672" s="4"/>
    </row>
    <row r="673">
      <c r="A673" s="2"/>
      <c r="B673" s="4"/>
      <c r="C673" s="4"/>
      <c r="D673" s="4"/>
      <c r="E673" s="4"/>
      <c r="F673" s="4"/>
    </row>
    <row r="674">
      <c r="A674" s="2"/>
      <c r="B674" s="4"/>
      <c r="C674" s="4"/>
      <c r="D674" s="4"/>
      <c r="E674" s="4"/>
      <c r="F674" s="4"/>
    </row>
    <row r="675">
      <c r="A675" s="2"/>
      <c r="B675" s="4"/>
      <c r="C675" s="4"/>
      <c r="D675" s="4"/>
      <c r="E675" s="4"/>
      <c r="F675" s="4"/>
    </row>
    <row r="676">
      <c r="A676" s="2"/>
      <c r="B676" s="4"/>
      <c r="C676" s="4"/>
      <c r="D676" s="4"/>
      <c r="E676" s="4"/>
      <c r="F676" s="4"/>
    </row>
    <row r="677">
      <c r="A677" s="2"/>
      <c r="B677" s="4"/>
      <c r="C677" s="4"/>
      <c r="D677" s="4"/>
      <c r="E677" s="4"/>
      <c r="F677" s="4"/>
    </row>
    <row r="678">
      <c r="A678" s="2"/>
      <c r="B678" s="4"/>
      <c r="C678" s="4"/>
      <c r="D678" s="4"/>
      <c r="E678" s="4"/>
      <c r="F678" s="4"/>
    </row>
    <row r="679">
      <c r="A679" s="2"/>
      <c r="B679" s="4"/>
      <c r="C679" s="4"/>
      <c r="D679" s="4"/>
      <c r="E679" s="4"/>
      <c r="F679" s="4"/>
    </row>
    <row r="680">
      <c r="A680" s="2"/>
      <c r="B680" s="4"/>
      <c r="C680" s="4"/>
      <c r="D680" s="4"/>
      <c r="E680" s="4"/>
      <c r="F680" s="4"/>
    </row>
    <row r="681">
      <c r="A681" s="2"/>
      <c r="B681" s="4"/>
      <c r="C681" s="4"/>
      <c r="D681" s="4"/>
      <c r="E681" s="4"/>
      <c r="F681" s="4"/>
    </row>
    <row r="682">
      <c r="A682" s="2"/>
      <c r="B682" s="4"/>
      <c r="C682" s="4"/>
      <c r="D682" s="4"/>
      <c r="E682" s="4"/>
      <c r="F682" s="4"/>
    </row>
    <row r="683">
      <c r="A683" s="2"/>
      <c r="B683" s="4"/>
      <c r="C683" s="4"/>
      <c r="D683" s="4"/>
      <c r="E683" s="4"/>
      <c r="F683" s="4"/>
    </row>
    <row r="684">
      <c r="A684" s="2"/>
      <c r="B684" s="4"/>
      <c r="C684" s="4"/>
      <c r="D684" s="4"/>
      <c r="E684" s="4"/>
      <c r="F684" s="4"/>
    </row>
    <row r="685">
      <c r="A685" s="2"/>
      <c r="B685" s="4"/>
      <c r="C685" s="4"/>
      <c r="D685" s="4"/>
      <c r="E685" s="4"/>
      <c r="F685" s="4"/>
    </row>
    <row r="686">
      <c r="A686" s="2"/>
      <c r="B686" s="4"/>
      <c r="C686" s="4"/>
      <c r="D686" s="4"/>
      <c r="E686" s="4"/>
      <c r="F686" s="4"/>
    </row>
    <row r="687">
      <c r="A687" s="2"/>
      <c r="B687" s="4"/>
      <c r="C687" s="4"/>
      <c r="D687" s="4"/>
      <c r="E687" s="4"/>
      <c r="F687" s="4"/>
    </row>
    <row r="688">
      <c r="A688" s="2"/>
      <c r="B688" s="4"/>
      <c r="C688" s="4"/>
      <c r="D688" s="4"/>
      <c r="E688" s="4"/>
      <c r="F688" s="4"/>
    </row>
    <row r="689">
      <c r="A689" s="2"/>
      <c r="B689" s="4"/>
      <c r="C689" s="4"/>
      <c r="D689" s="4"/>
      <c r="E689" s="4"/>
      <c r="F689" s="4"/>
    </row>
    <row r="690">
      <c r="A690" s="2"/>
      <c r="B690" s="4"/>
      <c r="C690" s="4"/>
      <c r="D690" s="4"/>
      <c r="E690" s="4"/>
      <c r="F690" s="4"/>
    </row>
    <row r="691">
      <c r="A691" s="2"/>
      <c r="B691" s="4"/>
      <c r="C691" s="4"/>
      <c r="D691" s="4"/>
      <c r="E691" s="4"/>
      <c r="F691" s="4"/>
    </row>
    <row r="692">
      <c r="A692" s="2"/>
      <c r="B692" s="4"/>
      <c r="C692" s="4"/>
      <c r="D692" s="4"/>
      <c r="E692" s="4"/>
      <c r="F692" s="4"/>
    </row>
    <row r="693">
      <c r="A693" s="2"/>
      <c r="B693" s="4"/>
      <c r="C693" s="4"/>
      <c r="D693" s="4"/>
      <c r="E693" s="4"/>
      <c r="F693" s="4"/>
    </row>
    <row r="694">
      <c r="A694" s="2"/>
      <c r="B694" s="4"/>
      <c r="C694" s="4"/>
      <c r="D694" s="4"/>
      <c r="E694" s="4"/>
      <c r="F694" s="4"/>
    </row>
    <row r="695">
      <c r="A695" s="2"/>
      <c r="B695" s="4"/>
      <c r="C695" s="4"/>
      <c r="D695" s="4"/>
      <c r="E695" s="4"/>
      <c r="F695" s="4"/>
    </row>
    <row r="696">
      <c r="A696" s="2"/>
      <c r="B696" s="4"/>
      <c r="C696" s="4"/>
      <c r="D696" s="4"/>
      <c r="E696" s="4"/>
      <c r="F696" s="4"/>
    </row>
    <row r="697">
      <c r="A697" s="2"/>
      <c r="B697" s="4"/>
      <c r="C697" s="4"/>
      <c r="D697" s="4"/>
      <c r="E697" s="4"/>
      <c r="F697" s="4"/>
    </row>
    <row r="698">
      <c r="A698" s="2"/>
      <c r="B698" s="4"/>
      <c r="C698" s="4"/>
      <c r="D698" s="4"/>
      <c r="E698" s="4"/>
      <c r="F698" s="4"/>
    </row>
    <row r="699">
      <c r="A699" s="2"/>
      <c r="B699" s="4"/>
      <c r="C699" s="4"/>
      <c r="D699" s="4"/>
      <c r="E699" s="4"/>
      <c r="F699" s="4"/>
    </row>
    <row r="700">
      <c r="A700" s="2"/>
      <c r="B700" s="4"/>
      <c r="C700" s="4"/>
      <c r="D700" s="4"/>
      <c r="E700" s="4"/>
      <c r="F700" s="4"/>
    </row>
    <row r="701">
      <c r="A701" s="2"/>
      <c r="B701" s="4"/>
      <c r="C701" s="4"/>
      <c r="D701" s="4"/>
      <c r="E701" s="4"/>
      <c r="F701" s="4"/>
    </row>
    <row r="702">
      <c r="A702" s="2"/>
      <c r="B702" s="4"/>
      <c r="C702" s="4"/>
      <c r="D702" s="4"/>
      <c r="E702" s="4"/>
      <c r="F702" s="4"/>
    </row>
    <row r="703">
      <c r="A703" s="2"/>
      <c r="B703" s="4"/>
      <c r="C703" s="4"/>
      <c r="D703" s="4"/>
      <c r="E703" s="4"/>
      <c r="F703" s="4"/>
    </row>
    <row r="704">
      <c r="A704" s="2"/>
      <c r="B704" s="4"/>
      <c r="C704" s="4"/>
      <c r="D704" s="4"/>
      <c r="E704" s="4"/>
      <c r="F704" s="4"/>
    </row>
    <row r="705">
      <c r="A705" s="2"/>
      <c r="B705" s="4"/>
      <c r="C705" s="4"/>
      <c r="D705" s="4"/>
      <c r="E705" s="4"/>
      <c r="F705" s="4"/>
    </row>
    <row r="706">
      <c r="A706" s="2"/>
      <c r="B706" s="4"/>
      <c r="C706" s="4"/>
      <c r="D706" s="4"/>
      <c r="E706" s="4"/>
      <c r="F706" s="4"/>
    </row>
    <row r="707">
      <c r="A707" s="2"/>
      <c r="B707" s="4"/>
      <c r="C707" s="4"/>
      <c r="D707" s="4"/>
      <c r="E707" s="4"/>
      <c r="F707" s="4"/>
    </row>
    <row r="708">
      <c r="A708" s="2"/>
      <c r="B708" s="4"/>
      <c r="C708" s="4"/>
      <c r="D708" s="4"/>
      <c r="E708" s="4"/>
      <c r="F708" s="4"/>
    </row>
    <row r="709">
      <c r="A709" s="2"/>
      <c r="B709" s="4"/>
      <c r="C709" s="4"/>
      <c r="D709" s="4"/>
      <c r="E709" s="4"/>
      <c r="F709" s="4"/>
    </row>
    <row r="710">
      <c r="A710" s="2"/>
      <c r="B710" s="4"/>
      <c r="C710" s="4"/>
      <c r="D710" s="4"/>
      <c r="E710" s="4"/>
      <c r="F710" s="4"/>
    </row>
    <row r="711">
      <c r="A711" s="2"/>
      <c r="B711" s="4"/>
      <c r="C711" s="4"/>
      <c r="D711" s="4"/>
      <c r="E711" s="4"/>
      <c r="F711" s="4"/>
    </row>
    <row r="712">
      <c r="A712" s="2"/>
      <c r="B712" s="4"/>
      <c r="C712" s="4"/>
      <c r="D712" s="4"/>
      <c r="E712" s="4"/>
      <c r="F712" s="4"/>
    </row>
    <row r="713">
      <c r="A713" s="2"/>
      <c r="B713" s="4"/>
      <c r="C713" s="4"/>
      <c r="D713" s="4"/>
      <c r="E713" s="4"/>
      <c r="F713" s="4"/>
    </row>
    <row r="714">
      <c r="A714" s="2"/>
      <c r="B714" s="4"/>
      <c r="C714" s="4"/>
      <c r="D714" s="4"/>
      <c r="E714" s="4"/>
      <c r="F714" s="4"/>
    </row>
    <row r="715">
      <c r="A715" s="2"/>
      <c r="B715" s="4"/>
      <c r="C715" s="4"/>
      <c r="D715" s="4"/>
      <c r="E715" s="4"/>
      <c r="F715" s="4"/>
    </row>
    <row r="716">
      <c r="A716" s="2"/>
      <c r="B716" s="4"/>
      <c r="C716" s="4"/>
      <c r="D716" s="4"/>
      <c r="E716" s="4"/>
      <c r="F716" s="4"/>
    </row>
    <row r="717">
      <c r="A717" s="2"/>
      <c r="B717" s="4"/>
      <c r="C717" s="4"/>
      <c r="D717" s="4"/>
      <c r="E717" s="4"/>
      <c r="F717" s="4"/>
    </row>
    <row r="718">
      <c r="A718" s="2"/>
      <c r="B718" s="4"/>
      <c r="C718" s="4"/>
      <c r="D718" s="4"/>
      <c r="E718" s="4"/>
      <c r="F718" s="4"/>
    </row>
    <row r="719">
      <c r="A719" s="2"/>
      <c r="B719" s="4"/>
      <c r="C719" s="4"/>
      <c r="D719" s="4"/>
      <c r="E719" s="4"/>
      <c r="F719" s="4"/>
    </row>
    <row r="720">
      <c r="A720" s="2"/>
      <c r="B720" s="4"/>
      <c r="C720" s="4"/>
      <c r="D720" s="4"/>
      <c r="E720" s="4"/>
      <c r="F720" s="4"/>
    </row>
    <row r="721">
      <c r="A721" s="2"/>
      <c r="B721" s="4"/>
      <c r="C721" s="4"/>
      <c r="D721" s="4"/>
      <c r="E721" s="4"/>
      <c r="F721" s="4"/>
    </row>
    <row r="722">
      <c r="A722" s="2"/>
      <c r="B722" s="4"/>
      <c r="C722" s="4"/>
      <c r="D722" s="4"/>
      <c r="E722" s="4"/>
      <c r="F722" s="4"/>
    </row>
    <row r="723">
      <c r="A723" s="2"/>
      <c r="B723" s="4"/>
      <c r="C723" s="4"/>
      <c r="D723" s="4"/>
      <c r="E723" s="4"/>
      <c r="F723" s="4"/>
    </row>
    <row r="724">
      <c r="A724" s="2"/>
      <c r="B724" s="4"/>
      <c r="C724" s="4"/>
      <c r="D724" s="4"/>
      <c r="E724" s="4"/>
      <c r="F724" s="4"/>
    </row>
    <row r="725">
      <c r="A725" s="2"/>
      <c r="B725" s="4"/>
      <c r="C725" s="4"/>
      <c r="D725" s="4"/>
      <c r="E725" s="4"/>
      <c r="F725" s="4"/>
    </row>
    <row r="726">
      <c r="A726" s="2"/>
      <c r="B726" s="4"/>
      <c r="C726" s="4"/>
      <c r="D726" s="4"/>
      <c r="E726" s="4"/>
      <c r="F726" s="4"/>
    </row>
    <row r="727">
      <c r="A727" s="2"/>
      <c r="B727" s="4"/>
      <c r="C727" s="4"/>
      <c r="D727" s="4"/>
      <c r="E727" s="4"/>
      <c r="F727" s="4"/>
    </row>
    <row r="728">
      <c r="A728" s="2"/>
      <c r="B728" s="4"/>
      <c r="C728" s="4"/>
      <c r="D728" s="4"/>
      <c r="E728" s="4"/>
      <c r="F728" s="4"/>
    </row>
    <row r="729">
      <c r="A729" s="2"/>
      <c r="B729" s="4"/>
      <c r="C729" s="4"/>
      <c r="D729" s="4"/>
      <c r="E729" s="4"/>
      <c r="F729" s="4"/>
    </row>
    <row r="730">
      <c r="A730" s="2"/>
      <c r="B730" s="4"/>
      <c r="C730" s="4"/>
      <c r="D730" s="4"/>
      <c r="E730" s="4"/>
      <c r="F730" s="4"/>
    </row>
    <row r="731">
      <c r="A731" s="2"/>
      <c r="B731" s="4"/>
      <c r="C731" s="4"/>
      <c r="D731" s="4"/>
      <c r="E731" s="4"/>
      <c r="F731" s="4"/>
    </row>
    <row r="732">
      <c r="A732" s="2"/>
      <c r="B732" s="4"/>
      <c r="C732" s="4"/>
      <c r="D732" s="4"/>
      <c r="E732" s="4"/>
      <c r="F732" s="4"/>
    </row>
    <row r="733">
      <c r="A733" s="2"/>
      <c r="B733" s="4"/>
      <c r="C733" s="4"/>
      <c r="D733" s="4"/>
      <c r="E733" s="4"/>
      <c r="F733" s="4"/>
    </row>
    <row r="734">
      <c r="A734" s="2"/>
      <c r="B734" s="4"/>
      <c r="C734" s="4"/>
      <c r="D734" s="4"/>
      <c r="E734" s="4"/>
      <c r="F734" s="4"/>
    </row>
    <row r="735">
      <c r="A735" s="2"/>
      <c r="B735" s="4"/>
      <c r="C735" s="4"/>
      <c r="D735" s="4"/>
      <c r="E735" s="4"/>
      <c r="F735" s="4"/>
    </row>
    <row r="736">
      <c r="A736" s="2"/>
      <c r="B736" s="4"/>
      <c r="C736" s="4"/>
      <c r="D736" s="4"/>
      <c r="E736" s="4"/>
      <c r="F736" s="4"/>
    </row>
    <row r="737">
      <c r="A737" s="2"/>
      <c r="B737" s="4"/>
      <c r="C737" s="4"/>
      <c r="D737" s="4"/>
      <c r="E737" s="4"/>
      <c r="F737" s="4"/>
    </row>
    <row r="738">
      <c r="A738" s="2"/>
      <c r="B738" s="4"/>
      <c r="C738" s="4"/>
      <c r="D738" s="4"/>
      <c r="E738" s="4"/>
      <c r="F738" s="4"/>
    </row>
    <row r="739">
      <c r="A739" s="2"/>
      <c r="B739" s="4"/>
      <c r="C739" s="4"/>
      <c r="D739" s="4"/>
      <c r="E739" s="4"/>
      <c r="F739" s="4"/>
    </row>
    <row r="740">
      <c r="A740" s="2"/>
      <c r="B740" s="4"/>
      <c r="C740" s="4"/>
      <c r="D740" s="4"/>
      <c r="E740" s="4"/>
      <c r="F740" s="4"/>
    </row>
    <row r="741">
      <c r="A741" s="2"/>
      <c r="B741" s="4"/>
      <c r="C741" s="4"/>
      <c r="D741" s="4"/>
      <c r="E741" s="4"/>
      <c r="F741" s="4"/>
    </row>
    <row r="742">
      <c r="A742" s="2"/>
      <c r="B742" s="4"/>
      <c r="C742" s="4"/>
      <c r="D742" s="4"/>
      <c r="E742" s="4"/>
      <c r="F742" s="4"/>
    </row>
    <row r="743">
      <c r="A743" s="2"/>
      <c r="B743" s="4"/>
      <c r="C743" s="4"/>
      <c r="D743" s="4"/>
      <c r="E743" s="4"/>
      <c r="F743" s="4"/>
    </row>
    <row r="744">
      <c r="A744" s="2"/>
      <c r="B744" s="4"/>
      <c r="C744" s="4"/>
      <c r="D744" s="4"/>
      <c r="E744" s="4"/>
      <c r="F744" s="4"/>
    </row>
    <row r="745">
      <c r="A745" s="2"/>
      <c r="B745" s="4"/>
      <c r="C745" s="4"/>
      <c r="D745" s="4"/>
      <c r="E745" s="4"/>
      <c r="F745" s="4"/>
    </row>
    <row r="746">
      <c r="A746" s="2"/>
      <c r="B746" s="4"/>
      <c r="C746" s="4"/>
      <c r="D746" s="4"/>
      <c r="E746" s="4"/>
      <c r="F746" s="4"/>
    </row>
    <row r="747">
      <c r="A747" s="2"/>
      <c r="B747" s="4"/>
      <c r="C747" s="4"/>
      <c r="D747" s="4"/>
      <c r="E747" s="4"/>
      <c r="F747" s="4"/>
    </row>
    <row r="748">
      <c r="A748" s="2"/>
      <c r="B748" s="4"/>
      <c r="C748" s="4"/>
      <c r="D748" s="4"/>
      <c r="E748" s="4"/>
      <c r="F748" s="4"/>
    </row>
    <row r="749">
      <c r="A749" s="2"/>
      <c r="B749" s="4"/>
      <c r="C749" s="4"/>
      <c r="D749" s="4"/>
      <c r="E749" s="4"/>
      <c r="F749" s="4"/>
    </row>
    <row r="750">
      <c r="A750" s="2"/>
      <c r="B750" s="4"/>
      <c r="C750" s="4"/>
      <c r="D750" s="4"/>
      <c r="E750" s="4"/>
      <c r="F750" s="4"/>
    </row>
    <row r="751">
      <c r="A751" s="2"/>
      <c r="B751" s="4"/>
      <c r="C751" s="4"/>
      <c r="D751" s="4"/>
      <c r="E751" s="4"/>
      <c r="F751" s="4"/>
    </row>
    <row r="752">
      <c r="A752" s="2"/>
      <c r="B752" s="4"/>
      <c r="C752" s="4"/>
      <c r="D752" s="4"/>
      <c r="E752" s="4"/>
      <c r="F752" s="4"/>
    </row>
    <row r="753">
      <c r="A753" s="2"/>
      <c r="B753" s="4"/>
      <c r="C753" s="4"/>
      <c r="D753" s="4"/>
      <c r="E753" s="4"/>
      <c r="F753" s="4"/>
    </row>
    <row r="754">
      <c r="A754" s="2"/>
      <c r="B754" s="4"/>
      <c r="C754" s="4"/>
      <c r="D754" s="4"/>
      <c r="E754" s="4"/>
      <c r="F754" s="4"/>
    </row>
    <row r="755">
      <c r="A755" s="2"/>
      <c r="B755" s="4"/>
      <c r="C755" s="4"/>
      <c r="D755" s="4"/>
      <c r="E755" s="4"/>
      <c r="F755" s="4"/>
    </row>
    <row r="756">
      <c r="A756" s="2"/>
      <c r="B756" s="4"/>
      <c r="C756" s="4"/>
      <c r="D756" s="4"/>
      <c r="E756" s="4"/>
      <c r="F756" s="4"/>
    </row>
    <row r="757">
      <c r="A757" s="2"/>
      <c r="B757" s="4"/>
      <c r="C757" s="4"/>
      <c r="D757" s="4"/>
      <c r="E757" s="4"/>
      <c r="F757" s="4"/>
    </row>
    <row r="758">
      <c r="A758" s="2"/>
      <c r="B758" s="4"/>
      <c r="C758" s="4"/>
      <c r="D758" s="4"/>
      <c r="E758" s="4"/>
      <c r="F758" s="4"/>
    </row>
    <row r="759">
      <c r="A759" s="2"/>
      <c r="B759" s="4"/>
      <c r="C759" s="4"/>
      <c r="D759" s="4"/>
      <c r="E759" s="4"/>
      <c r="F759" s="4"/>
    </row>
    <row r="760">
      <c r="A760" s="2"/>
      <c r="B760" s="4"/>
      <c r="C760" s="4"/>
      <c r="D760" s="4"/>
      <c r="E760" s="4"/>
      <c r="F760" s="4"/>
    </row>
    <row r="761">
      <c r="A761" s="2"/>
      <c r="B761" s="4"/>
      <c r="C761" s="4"/>
      <c r="D761" s="4"/>
      <c r="E761" s="4"/>
      <c r="F761" s="4"/>
    </row>
    <row r="762">
      <c r="A762" s="2"/>
      <c r="B762" s="4"/>
      <c r="C762" s="4"/>
      <c r="D762" s="4"/>
      <c r="E762" s="4"/>
      <c r="F762" s="4"/>
    </row>
    <row r="763">
      <c r="A763" s="2"/>
      <c r="B763" s="4"/>
      <c r="C763" s="4"/>
      <c r="D763" s="4"/>
      <c r="E763" s="4"/>
      <c r="F763" s="4"/>
    </row>
    <row r="764">
      <c r="A764" s="2"/>
      <c r="B764" s="4"/>
      <c r="C764" s="4"/>
      <c r="D764" s="4"/>
      <c r="E764" s="4"/>
      <c r="F764" s="4"/>
    </row>
    <row r="765">
      <c r="A765" s="2"/>
      <c r="B765" s="4"/>
      <c r="C765" s="4"/>
      <c r="D765" s="4"/>
      <c r="E765" s="4"/>
      <c r="F765" s="4"/>
    </row>
    <row r="766">
      <c r="A766" s="2"/>
      <c r="B766" s="4"/>
      <c r="C766" s="4"/>
      <c r="D766" s="4"/>
      <c r="E766" s="4"/>
      <c r="F766" s="4"/>
    </row>
    <row r="767">
      <c r="A767" s="2"/>
      <c r="B767" s="4"/>
      <c r="C767" s="4"/>
      <c r="D767" s="4"/>
      <c r="E767" s="4"/>
      <c r="F767" s="4"/>
    </row>
    <row r="768">
      <c r="A768" s="2"/>
      <c r="B768" s="4"/>
      <c r="C768" s="4"/>
      <c r="D768" s="4"/>
      <c r="E768" s="4"/>
      <c r="F768" s="4"/>
    </row>
    <row r="769">
      <c r="A769" s="2"/>
      <c r="B769" s="4"/>
      <c r="C769" s="4"/>
      <c r="D769" s="4"/>
      <c r="E769" s="4"/>
      <c r="F769" s="4"/>
    </row>
    <row r="770">
      <c r="A770" s="2"/>
      <c r="B770" s="4"/>
      <c r="C770" s="4"/>
      <c r="D770" s="4"/>
      <c r="E770" s="4"/>
      <c r="F770" s="4"/>
    </row>
    <row r="771">
      <c r="A771" s="2"/>
      <c r="B771" s="4"/>
      <c r="C771" s="4"/>
      <c r="D771" s="4"/>
      <c r="E771" s="4"/>
      <c r="F771" s="4"/>
    </row>
    <row r="772">
      <c r="A772" s="2"/>
      <c r="B772" s="4"/>
      <c r="C772" s="4"/>
      <c r="D772" s="4"/>
      <c r="E772" s="4"/>
      <c r="F772" s="4"/>
    </row>
    <row r="773">
      <c r="A773" s="2"/>
      <c r="B773" s="4"/>
      <c r="C773" s="4"/>
      <c r="D773" s="4"/>
      <c r="E773" s="4"/>
      <c r="F773" s="4"/>
    </row>
    <row r="774">
      <c r="A774" s="2"/>
      <c r="B774" s="4"/>
      <c r="C774" s="4"/>
      <c r="D774" s="4"/>
      <c r="E774" s="4"/>
      <c r="F774" s="4"/>
    </row>
    <row r="775">
      <c r="A775" s="2"/>
      <c r="B775" s="4"/>
      <c r="C775" s="4"/>
      <c r="D775" s="4"/>
      <c r="E775" s="4"/>
      <c r="F775" s="4"/>
    </row>
    <row r="776">
      <c r="A776" s="2"/>
      <c r="B776" s="4"/>
      <c r="C776" s="4"/>
      <c r="D776" s="4"/>
      <c r="E776" s="4"/>
      <c r="F776" s="4"/>
    </row>
    <row r="777">
      <c r="A777" s="2"/>
      <c r="B777" s="4"/>
      <c r="C777" s="4"/>
      <c r="D777" s="4"/>
      <c r="E777" s="4"/>
      <c r="F777" s="4"/>
    </row>
    <row r="778">
      <c r="A778" s="2"/>
      <c r="B778" s="4"/>
      <c r="C778" s="4"/>
      <c r="D778" s="4"/>
      <c r="E778" s="4"/>
      <c r="F778" s="4"/>
    </row>
    <row r="779">
      <c r="A779" s="2"/>
      <c r="B779" s="4"/>
      <c r="C779" s="4"/>
      <c r="D779" s="4"/>
      <c r="E779" s="4"/>
      <c r="F779" s="4"/>
    </row>
    <row r="780">
      <c r="A780" s="2"/>
      <c r="B780" s="4"/>
      <c r="C780" s="4"/>
      <c r="D780" s="4"/>
      <c r="E780" s="4"/>
      <c r="F780" s="4"/>
    </row>
    <row r="781">
      <c r="A781" s="2"/>
      <c r="B781" s="4"/>
      <c r="C781" s="4"/>
      <c r="D781" s="4"/>
      <c r="E781" s="4"/>
      <c r="F781" s="4"/>
    </row>
    <row r="782">
      <c r="A782" s="2"/>
      <c r="B782" s="4"/>
      <c r="C782" s="4"/>
      <c r="D782" s="4"/>
      <c r="E782" s="4"/>
      <c r="F782" s="4"/>
    </row>
    <row r="783">
      <c r="A783" s="2"/>
      <c r="B783" s="4"/>
      <c r="C783" s="4"/>
      <c r="D783" s="4"/>
      <c r="E783" s="4"/>
      <c r="F783" s="4"/>
    </row>
    <row r="784">
      <c r="A784" s="2"/>
      <c r="B784" s="4"/>
      <c r="C784" s="4"/>
      <c r="D784" s="4"/>
      <c r="E784" s="4"/>
      <c r="F784" s="4"/>
    </row>
    <row r="785">
      <c r="A785" s="2"/>
      <c r="B785" s="4"/>
      <c r="C785" s="4"/>
      <c r="D785" s="4"/>
      <c r="E785" s="4"/>
      <c r="F785" s="4"/>
    </row>
    <row r="786">
      <c r="A786" s="2"/>
      <c r="B786" s="4"/>
      <c r="C786" s="4"/>
      <c r="D786" s="4"/>
      <c r="E786" s="4"/>
      <c r="F786" s="4"/>
    </row>
    <row r="787">
      <c r="A787" s="2"/>
      <c r="B787" s="4"/>
      <c r="C787" s="4"/>
      <c r="D787" s="4"/>
      <c r="E787" s="4"/>
      <c r="F787" s="4"/>
    </row>
    <row r="788">
      <c r="A788" s="2"/>
      <c r="B788" s="4"/>
      <c r="C788" s="4"/>
      <c r="D788" s="4"/>
      <c r="E788" s="4"/>
      <c r="F788" s="4"/>
    </row>
    <row r="789">
      <c r="A789" s="2"/>
      <c r="B789" s="4"/>
      <c r="C789" s="4"/>
      <c r="D789" s="4"/>
      <c r="E789" s="4"/>
      <c r="F789" s="4"/>
    </row>
    <row r="790">
      <c r="A790" s="2"/>
      <c r="B790" s="4"/>
      <c r="C790" s="4"/>
      <c r="D790" s="4"/>
      <c r="E790" s="4"/>
      <c r="F790" s="4"/>
    </row>
    <row r="791">
      <c r="A791" s="2"/>
      <c r="B791" s="4"/>
      <c r="C791" s="4"/>
      <c r="D791" s="4"/>
      <c r="E791" s="4"/>
      <c r="F791" s="4"/>
    </row>
    <row r="792">
      <c r="A792" s="2"/>
      <c r="B792" s="4"/>
      <c r="C792" s="4"/>
      <c r="D792" s="4"/>
      <c r="E792" s="4"/>
      <c r="F792" s="4"/>
    </row>
    <row r="793">
      <c r="A793" s="2"/>
      <c r="B793" s="4"/>
      <c r="C793" s="4"/>
      <c r="D793" s="4"/>
      <c r="E793" s="4"/>
      <c r="F793" s="4"/>
    </row>
    <row r="794">
      <c r="A794" s="2"/>
      <c r="B794" s="4"/>
      <c r="C794" s="4"/>
      <c r="D794" s="4"/>
      <c r="E794" s="4"/>
      <c r="F794" s="4"/>
    </row>
    <row r="795">
      <c r="A795" s="2"/>
      <c r="B795" s="4"/>
      <c r="C795" s="4"/>
      <c r="D795" s="4"/>
      <c r="E795" s="4"/>
      <c r="F795" s="4"/>
    </row>
    <row r="796">
      <c r="A796" s="2"/>
      <c r="B796" s="4"/>
      <c r="C796" s="4"/>
      <c r="D796" s="4"/>
      <c r="E796" s="4"/>
      <c r="F796" s="4"/>
    </row>
    <row r="797">
      <c r="A797" s="2"/>
      <c r="B797" s="4"/>
      <c r="C797" s="4"/>
      <c r="D797" s="4"/>
      <c r="E797" s="4"/>
      <c r="F797" s="4"/>
    </row>
    <row r="798">
      <c r="A798" s="2"/>
      <c r="B798" s="4"/>
      <c r="C798" s="4"/>
      <c r="D798" s="4"/>
      <c r="E798" s="4"/>
      <c r="F798" s="4"/>
    </row>
    <row r="799">
      <c r="A799" s="2"/>
      <c r="B799" s="4"/>
      <c r="C799" s="4"/>
      <c r="D799" s="4"/>
      <c r="E799" s="4"/>
      <c r="F799" s="4"/>
    </row>
    <row r="800">
      <c r="A800" s="2"/>
      <c r="B800" s="4"/>
      <c r="C800" s="4"/>
      <c r="D800" s="4"/>
      <c r="E800" s="4"/>
      <c r="F800" s="4"/>
    </row>
    <row r="801">
      <c r="A801" s="2"/>
      <c r="B801" s="4"/>
      <c r="C801" s="4"/>
      <c r="D801" s="4"/>
      <c r="E801" s="4"/>
      <c r="F801" s="4"/>
    </row>
    <row r="802">
      <c r="A802" s="2"/>
      <c r="B802" s="4"/>
      <c r="C802" s="4"/>
      <c r="D802" s="4"/>
      <c r="E802" s="4"/>
      <c r="F802" s="4"/>
    </row>
    <row r="803">
      <c r="A803" s="2"/>
      <c r="B803" s="4"/>
      <c r="C803" s="4"/>
      <c r="D803" s="4"/>
      <c r="E803" s="4"/>
      <c r="F803" s="4"/>
    </row>
    <row r="804">
      <c r="A804" s="2"/>
      <c r="B804" s="4"/>
      <c r="C804" s="4"/>
      <c r="D804" s="4"/>
      <c r="E804" s="4"/>
      <c r="F804" s="4"/>
    </row>
    <row r="805">
      <c r="A805" s="2"/>
      <c r="B805" s="4"/>
      <c r="C805" s="4"/>
      <c r="D805" s="4"/>
      <c r="E805" s="4"/>
      <c r="F805" s="4"/>
    </row>
    <row r="806">
      <c r="A806" s="2"/>
      <c r="B806" s="4"/>
      <c r="C806" s="4"/>
      <c r="D806" s="4"/>
      <c r="E806" s="4"/>
      <c r="F806" s="4"/>
    </row>
    <row r="807">
      <c r="A807" s="2"/>
      <c r="B807" s="4"/>
      <c r="C807" s="4"/>
      <c r="D807" s="4"/>
      <c r="E807" s="4"/>
      <c r="F807" s="4"/>
    </row>
    <row r="808">
      <c r="A808" s="2"/>
      <c r="B808" s="4"/>
      <c r="C808" s="4"/>
      <c r="D808" s="4"/>
      <c r="E808" s="4"/>
      <c r="F808" s="4"/>
    </row>
    <row r="809">
      <c r="A809" s="2"/>
      <c r="B809" s="4"/>
      <c r="C809" s="4"/>
      <c r="D809" s="4"/>
      <c r="E809" s="4"/>
      <c r="F809" s="4"/>
    </row>
    <row r="810">
      <c r="A810" s="2"/>
      <c r="B810" s="4"/>
      <c r="C810" s="4"/>
      <c r="D810" s="4"/>
      <c r="E810" s="4"/>
      <c r="F810" s="4"/>
    </row>
    <row r="811">
      <c r="A811" s="2"/>
      <c r="B811" s="4"/>
      <c r="C811" s="4"/>
      <c r="D811" s="4"/>
      <c r="E811" s="4"/>
      <c r="F811" s="4"/>
    </row>
    <row r="812">
      <c r="A812" s="2"/>
      <c r="B812" s="4"/>
      <c r="C812" s="4"/>
      <c r="D812" s="4"/>
      <c r="E812" s="4"/>
      <c r="F812" s="4"/>
    </row>
    <row r="813">
      <c r="A813" s="2"/>
      <c r="B813" s="4"/>
      <c r="C813" s="4"/>
      <c r="D813" s="4"/>
      <c r="E813" s="4"/>
      <c r="F813" s="4"/>
    </row>
    <row r="814">
      <c r="A814" s="2"/>
      <c r="B814" s="4"/>
      <c r="C814" s="4"/>
      <c r="D814" s="4"/>
      <c r="E814" s="4"/>
      <c r="F814" s="4"/>
    </row>
    <row r="815">
      <c r="A815" s="2"/>
      <c r="B815" s="4"/>
      <c r="C815" s="4"/>
      <c r="D815" s="4"/>
      <c r="E815" s="4"/>
      <c r="F815" s="4"/>
    </row>
    <row r="816">
      <c r="A816" s="2"/>
      <c r="B816" s="4"/>
      <c r="C816" s="4"/>
      <c r="D816" s="4"/>
      <c r="E816" s="4"/>
      <c r="F816" s="4"/>
    </row>
    <row r="817">
      <c r="A817" s="2"/>
      <c r="B817" s="4"/>
      <c r="C817" s="4"/>
      <c r="D817" s="4"/>
      <c r="E817" s="4"/>
      <c r="F817" s="4"/>
    </row>
    <row r="818">
      <c r="A818" s="2"/>
      <c r="B818" s="4"/>
      <c r="C818" s="4"/>
      <c r="D818" s="4"/>
      <c r="E818" s="4"/>
      <c r="F818" s="4"/>
    </row>
    <row r="819">
      <c r="A819" s="2"/>
      <c r="B819" s="4"/>
      <c r="C819" s="4"/>
      <c r="D819" s="4"/>
      <c r="E819" s="4"/>
      <c r="F819" s="4"/>
    </row>
    <row r="820">
      <c r="A820" s="2"/>
      <c r="B820" s="4"/>
      <c r="C820" s="4"/>
      <c r="D820" s="4"/>
      <c r="E820" s="4"/>
      <c r="F820" s="4"/>
    </row>
    <row r="821">
      <c r="A821" s="2"/>
      <c r="B821" s="4"/>
      <c r="C821" s="4"/>
      <c r="D821" s="4"/>
      <c r="E821" s="4"/>
      <c r="F821" s="4"/>
    </row>
    <row r="822">
      <c r="A822" s="2"/>
      <c r="B822" s="4"/>
      <c r="C822" s="4"/>
      <c r="D822" s="4"/>
      <c r="E822" s="4"/>
      <c r="F822" s="4"/>
    </row>
    <row r="823">
      <c r="A823" s="2"/>
      <c r="B823" s="4"/>
      <c r="C823" s="4"/>
      <c r="D823" s="4"/>
      <c r="E823" s="4"/>
      <c r="F823" s="4"/>
    </row>
    <row r="824">
      <c r="A824" s="2"/>
      <c r="B824" s="4"/>
      <c r="C824" s="4"/>
      <c r="D824" s="4"/>
      <c r="E824" s="4"/>
      <c r="F824" s="4"/>
    </row>
    <row r="825">
      <c r="A825" s="2"/>
      <c r="B825" s="4"/>
      <c r="C825" s="4"/>
      <c r="D825" s="4"/>
      <c r="E825" s="4"/>
      <c r="F825" s="4"/>
    </row>
    <row r="826">
      <c r="A826" s="2"/>
      <c r="B826" s="4"/>
      <c r="C826" s="4"/>
      <c r="D826" s="4"/>
      <c r="E826" s="4"/>
      <c r="F826" s="4"/>
    </row>
    <row r="827">
      <c r="A827" s="2"/>
      <c r="B827" s="4"/>
      <c r="C827" s="4"/>
      <c r="D827" s="4"/>
      <c r="E827" s="4"/>
      <c r="F827" s="4"/>
    </row>
    <row r="828">
      <c r="A828" s="2"/>
      <c r="B828" s="4"/>
      <c r="C828" s="4"/>
      <c r="D828" s="4"/>
      <c r="E828" s="4"/>
      <c r="F828" s="4"/>
    </row>
    <row r="829">
      <c r="A829" s="2"/>
      <c r="B829" s="4"/>
      <c r="C829" s="4"/>
      <c r="D829" s="4"/>
      <c r="E829" s="4"/>
      <c r="F829" s="4"/>
    </row>
    <row r="830">
      <c r="A830" s="2"/>
      <c r="B830" s="4"/>
      <c r="C830" s="4"/>
      <c r="D830" s="4"/>
      <c r="E830" s="4"/>
      <c r="F830" s="4"/>
    </row>
    <row r="831">
      <c r="A831" s="2"/>
      <c r="B831" s="4"/>
      <c r="C831" s="4"/>
      <c r="D831" s="4"/>
      <c r="E831" s="4"/>
      <c r="F831" s="4"/>
    </row>
    <row r="832">
      <c r="A832" s="2"/>
      <c r="B832" s="4"/>
      <c r="C832" s="4"/>
      <c r="D832" s="4"/>
      <c r="E832" s="4"/>
      <c r="F832" s="4"/>
    </row>
    <row r="833">
      <c r="A833" s="2"/>
      <c r="B833" s="4"/>
      <c r="C833" s="4"/>
      <c r="D833" s="4"/>
      <c r="E833" s="4"/>
      <c r="F833" s="4"/>
    </row>
    <row r="834">
      <c r="A834" s="2"/>
      <c r="B834" s="4"/>
      <c r="C834" s="4"/>
      <c r="D834" s="4"/>
      <c r="E834" s="4"/>
      <c r="F834" s="4"/>
    </row>
    <row r="835">
      <c r="A835" s="2"/>
      <c r="B835" s="4"/>
      <c r="C835" s="4"/>
      <c r="D835" s="4"/>
      <c r="E835" s="4"/>
      <c r="F835" s="4"/>
    </row>
    <row r="836">
      <c r="A836" s="2"/>
      <c r="B836" s="4"/>
      <c r="C836" s="4"/>
      <c r="D836" s="4"/>
      <c r="E836" s="4"/>
      <c r="F836" s="4"/>
    </row>
    <row r="837">
      <c r="A837" s="2"/>
      <c r="B837" s="4"/>
      <c r="C837" s="4"/>
      <c r="D837" s="4"/>
      <c r="E837" s="4"/>
      <c r="F837" s="4"/>
    </row>
    <row r="838">
      <c r="A838" s="2"/>
      <c r="B838" s="4"/>
      <c r="C838" s="4"/>
      <c r="D838" s="4"/>
      <c r="E838" s="4"/>
      <c r="F838" s="4"/>
    </row>
    <row r="839">
      <c r="A839" s="2"/>
      <c r="B839" s="4"/>
      <c r="C839" s="4"/>
      <c r="D839" s="4"/>
      <c r="E839" s="4"/>
      <c r="F839" s="4"/>
    </row>
    <row r="840">
      <c r="A840" s="2"/>
      <c r="B840" s="4"/>
      <c r="C840" s="4"/>
      <c r="D840" s="4"/>
      <c r="E840" s="4"/>
      <c r="F840" s="4"/>
    </row>
    <row r="841">
      <c r="A841" s="2"/>
      <c r="B841" s="4"/>
      <c r="C841" s="4"/>
      <c r="D841" s="4"/>
      <c r="E841" s="4"/>
      <c r="F841" s="4"/>
    </row>
    <row r="842">
      <c r="A842" s="2"/>
      <c r="B842" s="4"/>
      <c r="C842" s="4"/>
      <c r="D842" s="4"/>
      <c r="E842" s="4"/>
      <c r="F842" s="4"/>
    </row>
    <row r="843">
      <c r="A843" s="2"/>
      <c r="B843" s="4"/>
      <c r="C843" s="4"/>
      <c r="D843" s="4"/>
      <c r="E843" s="4"/>
      <c r="F843" s="4"/>
    </row>
    <row r="844">
      <c r="A844" s="2"/>
      <c r="B844" s="4"/>
      <c r="C844" s="4"/>
      <c r="D844" s="4"/>
      <c r="E844" s="4"/>
      <c r="F844" s="4"/>
    </row>
    <row r="845">
      <c r="A845" s="2"/>
      <c r="B845" s="4"/>
      <c r="C845" s="4"/>
      <c r="D845" s="4"/>
      <c r="E845" s="4"/>
      <c r="F845" s="4"/>
    </row>
    <row r="846">
      <c r="A846" s="2"/>
      <c r="B846" s="4"/>
      <c r="C846" s="4"/>
      <c r="D846" s="4"/>
      <c r="E846" s="4"/>
      <c r="F846" s="4"/>
    </row>
    <row r="847">
      <c r="A847" s="2"/>
      <c r="B847" s="4"/>
      <c r="C847" s="4"/>
      <c r="D847" s="4"/>
      <c r="E847" s="4"/>
      <c r="F847" s="4"/>
    </row>
    <row r="848">
      <c r="A848" s="2"/>
      <c r="B848" s="4"/>
      <c r="C848" s="4"/>
      <c r="D848" s="4"/>
      <c r="E848" s="4"/>
      <c r="F848" s="4"/>
    </row>
    <row r="849">
      <c r="A849" s="2"/>
      <c r="B849" s="4"/>
      <c r="C849" s="4"/>
      <c r="D849" s="4"/>
      <c r="E849" s="4"/>
      <c r="F849" s="4"/>
    </row>
    <row r="850">
      <c r="A850" s="2"/>
      <c r="B850" s="4"/>
      <c r="C850" s="4"/>
      <c r="D850" s="4"/>
      <c r="E850" s="4"/>
      <c r="F850" s="4"/>
    </row>
    <row r="851">
      <c r="A851" s="2"/>
      <c r="B851" s="4"/>
      <c r="C851" s="4"/>
      <c r="D851" s="4"/>
      <c r="E851" s="4"/>
      <c r="F851" s="4"/>
    </row>
    <row r="852">
      <c r="A852" s="2"/>
      <c r="B852" s="4"/>
      <c r="C852" s="4"/>
      <c r="D852" s="4"/>
      <c r="E852" s="4"/>
      <c r="F852" s="4"/>
    </row>
    <row r="853">
      <c r="A853" s="2"/>
      <c r="B853" s="4"/>
      <c r="C853" s="4"/>
      <c r="D853" s="4"/>
      <c r="E853" s="4"/>
      <c r="F853" s="4"/>
    </row>
    <row r="854">
      <c r="A854" s="2"/>
      <c r="B854" s="4"/>
      <c r="C854" s="4"/>
      <c r="D854" s="4"/>
      <c r="E854" s="4"/>
      <c r="F854" s="4"/>
    </row>
    <row r="855">
      <c r="A855" s="2"/>
      <c r="B855" s="4"/>
      <c r="C855" s="4"/>
      <c r="D855" s="4"/>
      <c r="E855" s="4"/>
      <c r="F855" s="4"/>
    </row>
    <row r="856">
      <c r="A856" s="2"/>
      <c r="B856" s="4"/>
      <c r="C856" s="4"/>
      <c r="D856" s="4"/>
      <c r="E856" s="4"/>
      <c r="F856" s="4"/>
    </row>
    <row r="857">
      <c r="A857" s="2"/>
      <c r="B857" s="4"/>
      <c r="C857" s="4"/>
      <c r="D857" s="4"/>
      <c r="E857" s="4"/>
      <c r="F857" s="4"/>
    </row>
    <row r="858">
      <c r="A858" s="2"/>
      <c r="B858" s="4"/>
      <c r="C858" s="4"/>
      <c r="D858" s="4"/>
      <c r="E858" s="4"/>
      <c r="F858" s="4"/>
    </row>
    <row r="859">
      <c r="A859" s="2"/>
      <c r="B859" s="4"/>
      <c r="C859" s="4"/>
      <c r="D859" s="4"/>
      <c r="E859" s="4"/>
      <c r="F859" s="4"/>
    </row>
    <row r="860">
      <c r="A860" s="2"/>
      <c r="B860" s="4"/>
      <c r="C860" s="4"/>
      <c r="D860" s="4"/>
      <c r="E860" s="4"/>
      <c r="F860" s="4"/>
    </row>
    <row r="861">
      <c r="A861" s="2"/>
      <c r="B861" s="4"/>
      <c r="C861" s="4"/>
      <c r="D861" s="4"/>
      <c r="E861" s="4"/>
      <c r="F861" s="4"/>
    </row>
    <row r="862">
      <c r="A862" s="2"/>
      <c r="B862" s="4"/>
      <c r="C862" s="4"/>
      <c r="D862" s="4"/>
      <c r="E862" s="4"/>
      <c r="F862" s="4"/>
    </row>
    <row r="863">
      <c r="A863" s="2"/>
      <c r="B863" s="4"/>
      <c r="C863" s="4"/>
      <c r="D863" s="4"/>
      <c r="E863" s="4"/>
      <c r="F863" s="4"/>
    </row>
    <row r="864">
      <c r="A864" s="2"/>
      <c r="B864" s="4"/>
      <c r="C864" s="4"/>
      <c r="D864" s="4"/>
      <c r="E864" s="4"/>
      <c r="F864" s="4"/>
    </row>
    <row r="865">
      <c r="A865" s="2"/>
      <c r="B865" s="4"/>
      <c r="C865" s="4"/>
      <c r="D865" s="4"/>
      <c r="E865" s="4"/>
      <c r="F865" s="4"/>
    </row>
    <row r="866">
      <c r="A866" s="2"/>
      <c r="B866" s="4"/>
      <c r="C866" s="4"/>
      <c r="D866" s="4"/>
      <c r="E866" s="4"/>
      <c r="F866" s="4"/>
    </row>
    <row r="867">
      <c r="A867" s="2"/>
      <c r="B867" s="4"/>
      <c r="C867" s="4"/>
      <c r="D867" s="4"/>
      <c r="E867" s="4"/>
      <c r="F867" s="4"/>
    </row>
    <row r="868">
      <c r="A868" s="2"/>
      <c r="B868" s="4"/>
      <c r="C868" s="4"/>
      <c r="D868" s="4"/>
      <c r="E868" s="4"/>
      <c r="F868" s="4"/>
    </row>
    <row r="869">
      <c r="A869" s="2"/>
      <c r="B869" s="4"/>
      <c r="C869" s="4"/>
      <c r="D869" s="4"/>
      <c r="E869" s="4"/>
      <c r="F869" s="4"/>
    </row>
    <row r="870">
      <c r="A870" s="2"/>
      <c r="B870" s="4"/>
      <c r="C870" s="4"/>
      <c r="D870" s="4"/>
      <c r="E870" s="4"/>
      <c r="F870" s="4"/>
    </row>
    <row r="871">
      <c r="A871" s="2"/>
      <c r="B871" s="4"/>
      <c r="C871" s="4"/>
      <c r="D871" s="4"/>
      <c r="E871" s="4"/>
      <c r="F871" s="4"/>
    </row>
    <row r="872">
      <c r="A872" s="2"/>
      <c r="B872" s="4"/>
      <c r="C872" s="4"/>
      <c r="D872" s="4"/>
      <c r="E872" s="4"/>
      <c r="F872" s="4"/>
    </row>
    <row r="873">
      <c r="A873" s="2"/>
      <c r="B873" s="4"/>
      <c r="C873" s="4"/>
      <c r="D873" s="4"/>
      <c r="E873" s="4"/>
      <c r="F873" s="4"/>
    </row>
    <row r="874">
      <c r="A874" s="2"/>
      <c r="B874" s="4"/>
      <c r="C874" s="4"/>
      <c r="D874" s="4"/>
      <c r="E874" s="4"/>
      <c r="F874" s="4"/>
    </row>
    <row r="875">
      <c r="A875" s="2"/>
      <c r="B875" s="4"/>
      <c r="C875" s="4"/>
      <c r="D875" s="4"/>
      <c r="E875" s="4"/>
      <c r="F875" s="4"/>
    </row>
    <row r="876">
      <c r="A876" s="2"/>
      <c r="B876" s="4"/>
      <c r="C876" s="4"/>
      <c r="D876" s="4"/>
      <c r="E876" s="4"/>
      <c r="F876" s="4"/>
    </row>
    <row r="877">
      <c r="A877" s="2"/>
      <c r="B877" s="4"/>
      <c r="C877" s="4"/>
      <c r="D877" s="4"/>
      <c r="E877" s="4"/>
      <c r="F877" s="4"/>
    </row>
    <row r="878">
      <c r="A878" s="2"/>
      <c r="B878" s="4"/>
      <c r="C878" s="4"/>
      <c r="D878" s="4"/>
      <c r="E878" s="4"/>
      <c r="F878" s="4"/>
    </row>
    <row r="879">
      <c r="A879" s="2"/>
      <c r="B879" s="4"/>
      <c r="C879" s="4"/>
      <c r="D879" s="4"/>
      <c r="E879" s="4"/>
      <c r="F879" s="4"/>
    </row>
    <row r="880">
      <c r="A880" s="2"/>
      <c r="B880" s="4"/>
      <c r="C880" s="4"/>
      <c r="D880" s="4"/>
      <c r="E880" s="4"/>
      <c r="F880" s="4"/>
    </row>
    <row r="881">
      <c r="A881" s="2"/>
      <c r="B881" s="4"/>
      <c r="C881" s="4"/>
      <c r="D881" s="4"/>
      <c r="E881" s="4"/>
      <c r="F881" s="4"/>
    </row>
    <row r="882">
      <c r="A882" s="2"/>
      <c r="B882" s="4"/>
      <c r="C882" s="4"/>
      <c r="D882" s="4"/>
      <c r="E882" s="4"/>
      <c r="F882" s="4"/>
    </row>
    <row r="883">
      <c r="A883" s="2"/>
      <c r="B883" s="4"/>
      <c r="C883" s="4"/>
      <c r="D883" s="4"/>
      <c r="E883" s="4"/>
      <c r="F883" s="4"/>
    </row>
    <row r="884">
      <c r="A884" s="2"/>
      <c r="B884" s="4"/>
      <c r="C884" s="4"/>
      <c r="D884" s="4"/>
      <c r="E884" s="4"/>
      <c r="F884" s="4"/>
    </row>
    <row r="885">
      <c r="A885" s="2"/>
      <c r="B885" s="4"/>
      <c r="C885" s="4"/>
      <c r="D885" s="4"/>
      <c r="E885" s="4"/>
      <c r="F885" s="4"/>
    </row>
    <row r="886">
      <c r="A886" s="2"/>
      <c r="B886" s="4"/>
      <c r="C886" s="4"/>
      <c r="D886" s="4"/>
      <c r="E886" s="4"/>
      <c r="F886" s="4"/>
    </row>
    <row r="887">
      <c r="A887" s="2"/>
      <c r="B887" s="4"/>
      <c r="C887" s="4"/>
      <c r="D887" s="4"/>
      <c r="E887" s="4"/>
      <c r="F887" s="4"/>
    </row>
    <row r="888">
      <c r="A888" s="2"/>
      <c r="B888" s="4"/>
      <c r="C888" s="4"/>
      <c r="D888" s="4"/>
      <c r="E888" s="4"/>
      <c r="F888" s="4"/>
    </row>
    <row r="889">
      <c r="A889" s="2"/>
      <c r="B889" s="4"/>
      <c r="C889" s="4"/>
      <c r="D889" s="4"/>
      <c r="E889" s="4"/>
      <c r="F889" s="4"/>
    </row>
    <row r="890">
      <c r="A890" s="2"/>
      <c r="B890" s="4"/>
      <c r="C890" s="4"/>
      <c r="D890" s="4"/>
      <c r="E890" s="4"/>
      <c r="F890" s="4"/>
    </row>
    <row r="891">
      <c r="A891" s="2"/>
      <c r="B891" s="4"/>
      <c r="C891" s="4"/>
      <c r="D891" s="4"/>
      <c r="E891" s="4"/>
      <c r="F891" s="4"/>
    </row>
    <row r="892">
      <c r="A892" s="2"/>
      <c r="B892" s="4"/>
      <c r="C892" s="4"/>
      <c r="D892" s="4"/>
      <c r="E892" s="4"/>
      <c r="F892" s="4"/>
    </row>
    <row r="893">
      <c r="A893" s="2"/>
      <c r="B893" s="4"/>
      <c r="C893" s="4"/>
      <c r="D893" s="4"/>
      <c r="E893" s="4"/>
      <c r="F893" s="4"/>
    </row>
    <row r="894">
      <c r="A894" s="2"/>
      <c r="B894" s="4"/>
      <c r="C894" s="4"/>
      <c r="D894" s="4"/>
      <c r="E894" s="4"/>
      <c r="F894" s="4"/>
    </row>
    <row r="895">
      <c r="A895" s="2"/>
      <c r="B895" s="4"/>
      <c r="C895" s="4"/>
      <c r="D895" s="4"/>
      <c r="E895" s="4"/>
      <c r="F895" s="4"/>
    </row>
    <row r="896">
      <c r="A896" s="2"/>
      <c r="B896" s="4"/>
      <c r="C896" s="4"/>
      <c r="D896" s="4"/>
      <c r="E896" s="4"/>
      <c r="F896" s="4"/>
    </row>
    <row r="897">
      <c r="A897" s="2"/>
      <c r="B897" s="4"/>
      <c r="C897" s="4"/>
      <c r="D897" s="4"/>
      <c r="E897" s="4"/>
      <c r="F897" s="4"/>
    </row>
    <row r="898">
      <c r="A898" s="2"/>
      <c r="B898" s="4"/>
      <c r="C898" s="4"/>
      <c r="D898" s="4"/>
      <c r="E898" s="4"/>
      <c r="F898" s="4"/>
    </row>
    <row r="899">
      <c r="A899" s="2"/>
      <c r="B899" s="4"/>
      <c r="C899" s="4"/>
      <c r="D899" s="4"/>
      <c r="E899" s="4"/>
      <c r="F899" s="4"/>
    </row>
    <row r="900">
      <c r="A900" s="2"/>
      <c r="B900" s="4"/>
      <c r="C900" s="4"/>
      <c r="D900" s="4"/>
      <c r="E900" s="4"/>
      <c r="F900" s="4"/>
    </row>
    <row r="901">
      <c r="A901" s="2"/>
      <c r="B901" s="4"/>
      <c r="C901" s="4"/>
      <c r="D901" s="4"/>
      <c r="E901" s="4"/>
      <c r="F901" s="4"/>
    </row>
    <row r="902">
      <c r="A902" s="2"/>
      <c r="B902" s="4"/>
      <c r="C902" s="4"/>
      <c r="D902" s="4"/>
      <c r="E902" s="4"/>
      <c r="F902" s="4"/>
    </row>
    <row r="903">
      <c r="A903" s="2"/>
      <c r="B903" s="4"/>
      <c r="C903" s="4"/>
      <c r="D903" s="4"/>
      <c r="E903" s="4"/>
      <c r="F903" s="4"/>
    </row>
    <row r="904">
      <c r="A904" s="2"/>
      <c r="B904" s="4"/>
      <c r="C904" s="4"/>
      <c r="D904" s="4"/>
      <c r="E904" s="4"/>
      <c r="F904" s="4"/>
    </row>
    <row r="905">
      <c r="A905" s="2"/>
      <c r="B905" s="4"/>
      <c r="C905" s="4"/>
      <c r="D905" s="4"/>
      <c r="E905" s="4"/>
      <c r="F905" s="4"/>
    </row>
    <row r="906">
      <c r="A906" s="2"/>
      <c r="B906" s="4"/>
      <c r="C906" s="4"/>
      <c r="D906" s="4"/>
      <c r="E906" s="4"/>
      <c r="F906" s="4"/>
    </row>
    <row r="907">
      <c r="A907" s="2"/>
      <c r="B907" s="4"/>
      <c r="C907" s="4"/>
      <c r="D907" s="4"/>
      <c r="E907" s="4"/>
      <c r="F907" s="4"/>
    </row>
    <row r="908">
      <c r="A908" s="2"/>
      <c r="B908" s="4"/>
      <c r="C908" s="4"/>
      <c r="D908" s="4"/>
      <c r="E908" s="4"/>
      <c r="F908" s="4"/>
    </row>
    <row r="909">
      <c r="A909" s="2"/>
      <c r="B909" s="4"/>
      <c r="C909" s="4"/>
      <c r="D909" s="4"/>
      <c r="E909" s="4"/>
      <c r="F909" s="4"/>
    </row>
    <row r="910">
      <c r="A910" s="2"/>
      <c r="B910" s="4"/>
      <c r="C910" s="4"/>
      <c r="D910" s="4"/>
      <c r="E910" s="4"/>
      <c r="F910" s="4"/>
    </row>
    <row r="911">
      <c r="A911" s="2"/>
      <c r="B911" s="4"/>
      <c r="C911" s="4"/>
      <c r="D911" s="4"/>
      <c r="E911" s="4"/>
      <c r="F911" s="4"/>
    </row>
    <row r="912">
      <c r="A912" s="2"/>
      <c r="B912" s="4"/>
      <c r="C912" s="4"/>
      <c r="D912" s="4"/>
      <c r="E912" s="4"/>
      <c r="F912" s="4"/>
    </row>
    <row r="913">
      <c r="A913" s="2"/>
      <c r="B913" s="4"/>
      <c r="C913" s="4"/>
      <c r="D913" s="4"/>
      <c r="E913" s="4"/>
      <c r="F913" s="4"/>
    </row>
    <row r="914">
      <c r="A914" s="2"/>
      <c r="B914" s="4"/>
      <c r="C914" s="4"/>
      <c r="D914" s="4"/>
      <c r="E914" s="4"/>
      <c r="F914" s="4"/>
    </row>
    <row r="915">
      <c r="A915" s="2"/>
      <c r="B915" s="4"/>
      <c r="C915" s="4"/>
      <c r="D915" s="4"/>
      <c r="E915" s="4"/>
      <c r="F915" s="4"/>
    </row>
    <row r="916">
      <c r="A916" s="2"/>
      <c r="B916" s="4"/>
      <c r="C916" s="4"/>
      <c r="D916" s="4"/>
      <c r="E916" s="4"/>
      <c r="F916" s="4"/>
    </row>
    <row r="917">
      <c r="A917" s="2"/>
      <c r="B917" s="4"/>
      <c r="C917" s="4"/>
      <c r="D917" s="4"/>
      <c r="E917" s="4"/>
      <c r="F917" s="4"/>
    </row>
    <row r="918">
      <c r="A918" s="2"/>
      <c r="B918" s="4"/>
      <c r="C918" s="4"/>
      <c r="D918" s="4"/>
      <c r="E918" s="4"/>
      <c r="F918" s="4"/>
    </row>
    <row r="919">
      <c r="A919" s="2"/>
      <c r="B919" s="4"/>
      <c r="C919" s="4"/>
      <c r="D919" s="4"/>
      <c r="E919" s="4"/>
      <c r="F919" s="4"/>
    </row>
    <row r="920">
      <c r="A920" s="2"/>
      <c r="B920" s="4"/>
      <c r="C920" s="4"/>
      <c r="D920" s="4"/>
      <c r="E920" s="4"/>
      <c r="F920" s="4"/>
    </row>
    <row r="921">
      <c r="A921" s="2"/>
      <c r="B921" s="4"/>
      <c r="C921" s="4"/>
      <c r="D921" s="4"/>
      <c r="E921" s="4"/>
      <c r="F921" s="4"/>
    </row>
    <row r="922">
      <c r="A922" s="2"/>
      <c r="B922" s="4"/>
      <c r="C922" s="4"/>
      <c r="D922" s="4"/>
      <c r="E922" s="4"/>
      <c r="F922" s="4"/>
    </row>
    <row r="923">
      <c r="A923" s="2"/>
      <c r="B923" s="4"/>
      <c r="C923" s="4"/>
      <c r="D923" s="4"/>
      <c r="E923" s="4"/>
      <c r="F923" s="4"/>
    </row>
    <row r="924">
      <c r="A924" s="2"/>
      <c r="B924" s="4"/>
      <c r="C924" s="4"/>
      <c r="D924" s="4"/>
      <c r="E924" s="4"/>
      <c r="F924" s="4"/>
    </row>
    <row r="925">
      <c r="A925" s="2"/>
      <c r="B925" s="4"/>
      <c r="C925" s="4"/>
      <c r="D925" s="4"/>
      <c r="E925" s="4"/>
      <c r="F925" s="4"/>
    </row>
    <row r="926">
      <c r="A926" s="2"/>
      <c r="B926" s="4"/>
      <c r="C926" s="4"/>
      <c r="D926" s="4"/>
      <c r="E926" s="4"/>
      <c r="F926" s="4"/>
    </row>
    <row r="927">
      <c r="A927" s="2"/>
      <c r="B927" s="4"/>
      <c r="C927" s="4"/>
      <c r="D927" s="4"/>
      <c r="E927" s="4"/>
      <c r="F927" s="4"/>
    </row>
    <row r="928">
      <c r="A928" s="2"/>
      <c r="B928" s="4"/>
      <c r="C928" s="4"/>
      <c r="D928" s="4"/>
      <c r="E928" s="4"/>
      <c r="F928" s="4"/>
    </row>
    <row r="929">
      <c r="A929" s="2"/>
      <c r="B929" s="4"/>
      <c r="C929" s="4"/>
      <c r="D929" s="4"/>
      <c r="E929" s="4"/>
      <c r="F929" s="4"/>
    </row>
    <row r="930">
      <c r="A930" s="2"/>
      <c r="B930" s="4"/>
      <c r="C930" s="4"/>
      <c r="D930" s="4"/>
      <c r="E930" s="4"/>
      <c r="F930" s="4"/>
    </row>
    <row r="931">
      <c r="A931" s="2"/>
      <c r="B931" s="4"/>
      <c r="C931" s="4"/>
      <c r="D931" s="4"/>
      <c r="E931" s="4"/>
      <c r="F931" s="4"/>
    </row>
    <row r="932">
      <c r="A932" s="2"/>
      <c r="B932" s="4"/>
      <c r="C932" s="4"/>
      <c r="D932" s="4"/>
      <c r="E932" s="4"/>
      <c r="F932" s="4"/>
    </row>
    <row r="933">
      <c r="A933" s="2"/>
      <c r="B933" s="4"/>
      <c r="C933" s="4"/>
      <c r="D933" s="4"/>
      <c r="E933" s="4"/>
      <c r="F933" s="4"/>
    </row>
    <row r="934">
      <c r="A934" s="2"/>
      <c r="B934" s="4"/>
      <c r="C934" s="4"/>
      <c r="D934" s="4"/>
      <c r="E934" s="4"/>
      <c r="F934" s="4"/>
    </row>
    <row r="935">
      <c r="A935" s="2"/>
      <c r="B935" s="4"/>
      <c r="C935" s="4"/>
      <c r="D935" s="4"/>
      <c r="E935" s="4"/>
      <c r="F935" s="4"/>
    </row>
    <row r="936">
      <c r="A936" s="2"/>
      <c r="B936" s="4"/>
      <c r="C936" s="4"/>
      <c r="D936" s="4"/>
      <c r="E936" s="4"/>
      <c r="F936" s="4"/>
    </row>
    <row r="937">
      <c r="A937" s="2"/>
      <c r="B937" s="4"/>
      <c r="C937" s="4"/>
      <c r="D937" s="4"/>
      <c r="E937" s="4"/>
      <c r="F937" s="4"/>
    </row>
    <row r="938">
      <c r="A938" s="2"/>
      <c r="B938" s="4"/>
      <c r="C938" s="4"/>
      <c r="D938" s="4"/>
      <c r="E938" s="4"/>
      <c r="F938" s="4"/>
    </row>
    <row r="939">
      <c r="A939" s="2"/>
      <c r="B939" s="4"/>
      <c r="C939" s="4"/>
      <c r="D939" s="4"/>
      <c r="E939" s="4"/>
      <c r="F939" s="4"/>
    </row>
    <row r="940">
      <c r="A940" s="2"/>
      <c r="B940" s="4"/>
      <c r="C940" s="4"/>
      <c r="D940" s="4"/>
      <c r="E940" s="4"/>
      <c r="F940" s="4"/>
    </row>
    <row r="941">
      <c r="A941" s="2"/>
      <c r="B941" s="4"/>
      <c r="C941" s="4"/>
      <c r="D941" s="4"/>
      <c r="E941" s="4"/>
      <c r="F941" s="4"/>
    </row>
    <row r="942">
      <c r="A942" s="2"/>
      <c r="B942" s="4"/>
      <c r="C942" s="4"/>
      <c r="D942" s="4"/>
      <c r="E942" s="4"/>
      <c r="F942" s="4"/>
    </row>
    <row r="943">
      <c r="A943" s="2"/>
      <c r="B943" s="4"/>
      <c r="C943" s="4"/>
      <c r="D943" s="4"/>
      <c r="E943" s="4"/>
      <c r="F943" s="4"/>
    </row>
    <row r="944">
      <c r="A944" s="2"/>
      <c r="B944" s="4"/>
      <c r="C944" s="4"/>
      <c r="D944" s="4"/>
      <c r="E944" s="4"/>
      <c r="F944" s="4"/>
    </row>
    <row r="945">
      <c r="A945" s="2"/>
      <c r="B945" s="4"/>
      <c r="C945" s="4"/>
      <c r="D945" s="4"/>
      <c r="E945" s="4"/>
      <c r="F945" s="4"/>
    </row>
    <row r="946">
      <c r="A946" s="2"/>
      <c r="B946" s="4"/>
      <c r="C946" s="4"/>
      <c r="D946" s="4"/>
      <c r="E946" s="4"/>
      <c r="F946" s="4"/>
    </row>
    <row r="947">
      <c r="A947" s="2"/>
      <c r="B947" s="4"/>
      <c r="C947" s="4"/>
      <c r="D947" s="4"/>
      <c r="E947" s="4"/>
      <c r="F947" s="4"/>
    </row>
    <row r="948">
      <c r="A948" s="2"/>
      <c r="B948" s="4"/>
      <c r="C948" s="4"/>
      <c r="D948" s="4"/>
      <c r="E948" s="4"/>
      <c r="F948" s="4"/>
    </row>
    <row r="949">
      <c r="A949" s="2"/>
      <c r="B949" s="4"/>
      <c r="C949" s="4"/>
      <c r="D949" s="4"/>
      <c r="E949" s="4"/>
      <c r="F949" s="4"/>
    </row>
    <row r="950">
      <c r="A950" s="2"/>
      <c r="B950" s="4"/>
      <c r="C950" s="4"/>
      <c r="D950" s="4"/>
      <c r="E950" s="4"/>
      <c r="F950" s="4"/>
    </row>
    <row r="951">
      <c r="A951" s="2"/>
      <c r="B951" s="4"/>
      <c r="C951" s="4"/>
      <c r="D951" s="4"/>
      <c r="E951" s="4"/>
      <c r="F951" s="4"/>
    </row>
    <row r="952">
      <c r="A952" s="2"/>
      <c r="B952" s="4"/>
      <c r="C952" s="4"/>
      <c r="D952" s="4"/>
      <c r="E952" s="4"/>
      <c r="F952" s="4"/>
    </row>
    <row r="953">
      <c r="A953" s="2"/>
      <c r="B953" s="4"/>
      <c r="C953" s="4"/>
      <c r="D953" s="4"/>
      <c r="E953" s="4"/>
      <c r="F953" s="4"/>
    </row>
    <row r="954">
      <c r="A954" s="2"/>
      <c r="B954" s="4"/>
      <c r="C954" s="4"/>
      <c r="D954" s="4"/>
      <c r="E954" s="4"/>
      <c r="F954" s="4"/>
    </row>
    <row r="955">
      <c r="A955" s="2"/>
      <c r="B955" s="4"/>
      <c r="C955" s="4"/>
      <c r="D955" s="4"/>
      <c r="E955" s="4"/>
      <c r="F955" s="4"/>
    </row>
    <row r="956">
      <c r="A956" s="2"/>
      <c r="B956" s="4"/>
      <c r="C956" s="4"/>
      <c r="D956" s="4"/>
      <c r="E956" s="4"/>
      <c r="F956" s="4"/>
    </row>
    <row r="957">
      <c r="A957" s="2"/>
      <c r="B957" s="4"/>
      <c r="C957" s="4"/>
      <c r="D957" s="4"/>
      <c r="E957" s="4"/>
      <c r="F957" s="4"/>
    </row>
    <row r="958">
      <c r="A958" s="2"/>
      <c r="B958" s="4"/>
      <c r="C958" s="4"/>
      <c r="D958" s="4"/>
      <c r="E958" s="4"/>
      <c r="F958" s="4"/>
    </row>
    <row r="959">
      <c r="A959" s="2"/>
      <c r="B959" s="4"/>
      <c r="C959" s="4"/>
      <c r="D959" s="4"/>
      <c r="E959" s="4"/>
      <c r="F959" s="4"/>
    </row>
    <row r="960">
      <c r="A960" s="2"/>
      <c r="B960" s="4"/>
      <c r="C960" s="4"/>
      <c r="D960" s="4"/>
      <c r="E960" s="4"/>
      <c r="F960" s="4"/>
    </row>
    <row r="961">
      <c r="A961" s="2"/>
      <c r="B961" s="4"/>
      <c r="C961" s="4"/>
      <c r="D961" s="4"/>
      <c r="E961" s="4"/>
      <c r="F961" s="4"/>
    </row>
    <row r="962">
      <c r="A962" s="2"/>
      <c r="B962" s="4"/>
      <c r="C962" s="4"/>
      <c r="D962" s="4"/>
      <c r="E962" s="4"/>
      <c r="F962" s="4"/>
    </row>
    <row r="963">
      <c r="A963" s="2"/>
      <c r="B963" s="4"/>
      <c r="C963" s="4"/>
      <c r="D963" s="4"/>
      <c r="E963" s="4"/>
      <c r="F963" s="4"/>
    </row>
    <row r="964">
      <c r="A964" s="2"/>
      <c r="B964" s="4"/>
      <c r="C964" s="4"/>
      <c r="D964" s="4"/>
      <c r="E964" s="4"/>
      <c r="F964" s="4"/>
    </row>
    <row r="965">
      <c r="A965" s="2"/>
      <c r="B965" s="4"/>
      <c r="C965" s="4"/>
      <c r="D965" s="4"/>
      <c r="E965" s="4"/>
      <c r="F965" s="4"/>
    </row>
    <row r="966">
      <c r="A966" s="2"/>
      <c r="B966" s="4"/>
      <c r="C966" s="4"/>
      <c r="D966" s="4"/>
      <c r="E966" s="4"/>
      <c r="F966" s="4"/>
    </row>
    <row r="967">
      <c r="A967" s="2"/>
      <c r="B967" s="4"/>
      <c r="C967" s="4"/>
      <c r="D967" s="4"/>
      <c r="E967" s="4"/>
      <c r="F967" s="4"/>
    </row>
    <row r="968">
      <c r="A968" s="2"/>
      <c r="B968" s="4"/>
      <c r="C968" s="4"/>
      <c r="D968" s="4"/>
      <c r="E968" s="4"/>
      <c r="F968" s="4"/>
    </row>
    <row r="969">
      <c r="A969" s="2"/>
      <c r="B969" s="4"/>
      <c r="C969" s="4"/>
      <c r="D969" s="4"/>
      <c r="E969" s="4"/>
      <c r="F969" s="4"/>
    </row>
    <row r="970">
      <c r="A970" s="2"/>
      <c r="B970" s="4"/>
      <c r="C970" s="4"/>
      <c r="D970" s="4"/>
      <c r="E970" s="4"/>
      <c r="F970" s="4"/>
    </row>
    <row r="971">
      <c r="A971" s="2"/>
      <c r="B971" s="4"/>
      <c r="C971" s="4"/>
      <c r="D971" s="4"/>
      <c r="E971" s="4"/>
      <c r="F971" s="4"/>
    </row>
    <row r="972">
      <c r="A972" s="2"/>
      <c r="B972" s="4"/>
      <c r="C972" s="4"/>
      <c r="D972" s="4"/>
      <c r="E972" s="4"/>
      <c r="F972" s="4"/>
    </row>
    <row r="973">
      <c r="A973" s="2"/>
      <c r="B973" s="4"/>
      <c r="C973" s="4"/>
      <c r="D973" s="4"/>
      <c r="E973" s="4"/>
      <c r="F973" s="4"/>
    </row>
    <row r="974">
      <c r="A974" s="2"/>
      <c r="B974" s="4"/>
      <c r="C974" s="4"/>
      <c r="D974" s="4"/>
      <c r="E974" s="4"/>
      <c r="F974" s="4"/>
    </row>
    <row r="975">
      <c r="A975" s="2"/>
      <c r="B975" s="4"/>
      <c r="C975" s="4"/>
      <c r="D975" s="4"/>
      <c r="E975" s="4"/>
      <c r="F975" s="4"/>
    </row>
    <row r="976">
      <c r="A976" s="2"/>
      <c r="B976" s="4"/>
      <c r="C976" s="4"/>
      <c r="D976" s="4"/>
      <c r="E976" s="4"/>
      <c r="F976" s="4"/>
    </row>
    <row r="977">
      <c r="A977" s="2"/>
      <c r="B977" s="4"/>
      <c r="C977" s="4"/>
      <c r="D977" s="4"/>
      <c r="E977" s="4"/>
      <c r="F977" s="4"/>
    </row>
    <row r="978">
      <c r="A978" s="2"/>
      <c r="B978" s="4"/>
      <c r="C978" s="4"/>
      <c r="D978" s="4"/>
      <c r="E978" s="4"/>
      <c r="F978" s="4"/>
    </row>
    <row r="979">
      <c r="A979" s="2"/>
      <c r="B979" s="4"/>
      <c r="C979" s="4"/>
      <c r="D979" s="4"/>
      <c r="E979" s="4"/>
      <c r="F979" s="4"/>
    </row>
    <row r="980">
      <c r="A980" s="2"/>
      <c r="B980" s="4"/>
      <c r="C980" s="4"/>
      <c r="D980" s="4"/>
      <c r="E980" s="4"/>
      <c r="F980" s="4"/>
    </row>
    <row r="981">
      <c r="A981" s="2"/>
      <c r="B981" s="4"/>
      <c r="C981" s="4"/>
      <c r="D981" s="4"/>
      <c r="E981" s="4"/>
      <c r="F981" s="4"/>
    </row>
    <row r="982">
      <c r="A982" s="2"/>
      <c r="B982" s="4"/>
      <c r="C982" s="4"/>
      <c r="D982" s="4"/>
      <c r="E982" s="4"/>
      <c r="F982" s="4"/>
    </row>
    <row r="983">
      <c r="A983" s="2"/>
      <c r="B983" s="4"/>
      <c r="C983" s="4"/>
      <c r="D983" s="4"/>
      <c r="E983" s="4"/>
      <c r="F983" s="4"/>
    </row>
    <row r="984">
      <c r="A984" s="2"/>
      <c r="B984" s="4"/>
      <c r="C984" s="4"/>
      <c r="D984" s="4"/>
      <c r="E984" s="4"/>
      <c r="F984" s="4"/>
    </row>
    <row r="985">
      <c r="A985" s="2"/>
      <c r="B985" s="4"/>
      <c r="C985" s="4"/>
      <c r="D985" s="4"/>
      <c r="E985" s="4"/>
      <c r="F985" s="4"/>
    </row>
    <row r="986">
      <c r="A986" s="2"/>
      <c r="B986" s="4"/>
      <c r="C986" s="4"/>
      <c r="D986" s="4"/>
      <c r="E986" s="4"/>
      <c r="F986" s="4"/>
    </row>
    <row r="987">
      <c r="A987" s="2"/>
      <c r="B987" s="4"/>
      <c r="C987" s="4"/>
      <c r="D987" s="4"/>
      <c r="E987" s="4"/>
      <c r="F987" s="4"/>
    </row>
    <row r="988">
      <c r="A988" s="2"/>
      <c r="B988" s="4"/>
      <c r="C988" s="4"/>
      <c r="D988" s="4"/>
      <c r="E988" s="4"/>
      <c r="F988" s="4"/>
    </row>
    <row r="989">
      <c r="A989" s="2"/>
      <c r="B989" s="4"/>
      <c r="C989" s="4"/>
      <c r="D989" s="4"/>
      <c r="E989" s="4"/>
      <c r="F989" s="4"/>
    </row>
    <row r="990">
      <c r="A990" s="2"/>
      <c r="B990" s="4"/>
      <c r="C990" s="4"/>
      <c r="D990" s="4"/>
      <c r="E990" s="4"/>
      <c r="F990" s="4"/>
    </row>
    <row r="991">
      <c r="A991" s="2"/>
      <c r="B991" s="4"/>
      <c r="C991" s="4"/>
      <c r="D991" s="4"/>
      <c r="E991" s="4"/>
      <c r="F991" s="4"/>
    </row>
    <row r="992">
      <c r="A992" s="2"/>
      <c r="B992" s="4"/>
      <c r="C992" s="4"/>
      <c r="D992" s="4"/>
      <c r="E992" s="4"/>
      <c r="F992" s="4"/>
    </row>
    <row r="993">
      <c r="A993" s="2"/>
      <c r="B993" s="4"/>
      <c r="C993" s="4"/>
      <c r="D993" s="4"/>
      <c r="E993" s="4"/>
      <c r="F993" s="4"/>
    </row>
    <row r="994">
      <c r="A994" s="2"/>
      <c r="B994" s="4"/>
      <c r="C994" s="4"/>
      <c r="D994" s="4"/>
      <c r="E994" s="4"/>
      <c r="F994" s="4"/>
    </row>
    <row r="995">
      <c r="A995" s="2"/>
      <c r="B995" s="4"/>
      <c r="C995" s="4"/>
      <c r="D995" s="4"/>
      <c r="E995" s="4"/>
      <c r="F995" s="4"/>
    </row>
    <row r="996">
      <c r="A996" s="2"/>
      <c r="B996" s="4"/>
      <c r="C996" s="4"/>
      <c r="D996" s="4"/>
      <c r="E996" s="4"/>
      <c r="F996" s="4"/>
    </row>
    <row r="997">
      <c r="A997" s="2"/>
      <c r="B997" s="4"/>
      <c r="C997" s="4"/>
      <c r="D997" s="4"/>
      <c r="E997" s="4"/>
      <c r="F997" s="4"/>
    </row>
    <row r="998">
      <c r="A998" s="2"/>
      <c r="B998" s="4"/>
      <c r="C998" s="4"/>
      <c r="D998" s="4"/>
      <c r="E998" s="4"/>
      <c r="F998" s="4"/>
    </row>
    <row r="999">
      <c r="A999" s="2"/>
      <c r="B999" s="4"/>
      <c r="C999" s="4"/>
      <c r="D999" s="4"/>
      <c r="E999" s="4"/>
      <c r="F999" s="4"/>
    </row>
    <row r="1000">
      <c r="A1000" s="2"/>
      <c r="B1000" s="4"/>
      <c r="C1000" s="4"/>
      <c r="D1000" s="4"/>
      <c r="E1000" s="4"/>
      <c r="F1000" s="4"/>
    </row>
  </sheetData>
  <drawing r:id="rId1"/>
</worksheet>
</file>