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AN CE\BRI_paper\BRI\gravity\Regression_gravity\"/>
    </mc:Choice>
  </mc:AlternateContent>
  <xr:revisionPtr revIDLastSave="0" documentId="13_ncr:1_{21C72ECB-D1CB-4D7A-8875-63B74A2F577A}" xr6:coauthVersionLast="46" xr6:coauthVersionMax="46" xr10:uidLastSave="{00000000-0000-0000-0000-000000000000}"/>
  <bookViews>
    <workbookView xWindow="-108" yWindow="-108" windowWidth="23256" windowHeight="12576" firstSheet="1" activeTab="4" xr2:uid="{66CB85C5-0F2F-4288-B1E4-6CFC29663B2D}"/>
  </bookViews>
  <sheets>
    <sheet name="all_ols_row" sheetId="1" r:id="rId1"/>
    <sheet name="low income_ols_row" sheetId="2" r:id="rId2"/>
    <sheet name="lower middle income_ols_row" sheetId="3" r:id="rId3"/>
    <sheet name="upper middle income_ols_row" sheetId="4" r:id="rId4"/>
    <sheet name="bri_ols_row_post_did" sheetId="5" r:id="rId5"/>
    <sheet name="bri_ols_row_brient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6" l="1"/>
  <c r="C3" i="6"/>
  <c r="B3" i="6"/>
  <c r="D2" i="6"/>
  <c r="C2" i="6"/>
  <c r="B2" i="6"/>
  <c r="D3" i="5"/>
  <c r="C3" i="5"/>
  <c r="B3" i="5"/>
  <c r="D2" i="5"/>
  <c r="C2" i="5"/>
  <c r="B2" i="5"/>
  <c r="A18" i="6"/>
  <c r="D16" i="6"/>
  <c r="C16" i="6"/>
  <c r="B16" i="6"/>
  <c r="A16" i="6"/>
  <c r="D15" i="6"/>
  <c r="C15" i="6"/>
  <c r="B15" i="6"/>
  <c r="A15" i="6"/>
  <c r="D14" i="6"/>
  <c r="C14" i="6"/>
  <c r="B14" i="6"/>
  <c r="A14" i="6"/>
  <c r="D12" i="6"/>
  <c r="C12" i="6"/>
  <c r="B12" i="6"/>
  <c r="A12" i="6"/>
  <c r="D11" i="6"/>
  <c r="C11" i="6"/>
  <c r="B11" i="6"/>
  <c r="A11" i="6"/>
  <c r="D9" i="6"/>
  <c r="C9" i="6"/>
  <c r="B9" i="6"/>
  <c r="A9" i="6"/>
  <c r="D8" i="6"/>
  <c r="C8" i="6"/>
  <c r="B8" i="6"/>
  <c r="A8" i="6"/>
  <c r="D6" i="6"/>
  <c r="C6" i="6"/>
  <c r="B6" i="6"/>
  <c r="A6" i="6"/>
  <c r="D5" i="6"/>
  <c r="C5" i="6"/>
  <c r="B5" i="6"/>
  <c r="A3" i="6"/>
  <c r="A2" i="6"/>
  <c r="A18" i="5"/>
  <c r="D16" i="5"/>
  <c r="C16" i="5"/>
  <c r="B16" i="5"/>
  <c r="A16" i="5"/>
  <c r="D15" i="5"/>
  <c r="C15" i="5"/>
  <c r="B15" i="5"/>
  <c r="A15" i="5"/>
  <c r="D14" i="5"/>
  <c r="C14" i="5"/>
  <c r="B14" i="5"/>
  <c r="A14" i="5"/>
  <c r="D12" i="5"/>
  <c r="C12" i="5"/>
  <c r="B12" i="5"/>
  <c r="A12" i="5"/>
  <c r="D11" i="5"/>
  <c r="C11" i="5"/>
  <c r="B11" i="5"/>
  <c r="A11" i="5"/>
  <c r="D9" i="5"/>
  <c r="C9" i="5"/>
  <c r="B9" i="5"/>
  <c r="A9" i="5"/>
  <c r="D8" i="5"/>
  <c r="C8" i="5"/>
  <c r="B8" i="5"/>
  <c r="A8" i="5"/>
  <c r="D6" i="5"/>
  <c r="C6" i="5"/>
  <c r="B6" i="5"/>
  <c r="A6" i="5"/>
  <c r="D5" i="5"/>
  <c r="C5" i="5"/>
  <c r="B5" i="5"/>
  <c r="A5" i="5"/>
  <c r="A3" i="5"/>
  <c r="A2" i="5"/>
  <c r="A24" i="4"/>
  <c r="D22" i="4"/>
  <c r="C22" i="4"/>
  <c r="B22" i="4"/>
  <c r="A22" i="4"/>
  <c r="D21" i="4"/>
  <c r="C21" i="4"/>
  <c r="B21" i="4"/>
  <c r="A21" i="4"/>
  <c r="D20" i="4"/>
  <c r="C20" i="4"/>
  <c r="B20" i="4"/>
  <c r="A20" i="4"/>
  <c r="D18" i="4"/>
  <c r="C18" i="4"/>
  <c r="B18" i="4"/>
  <c r="A18" i="4"/>
  <c r="D17" i="4"/>
  <c r="C17" i="4"/>
  <c r="B17" i="4"/>
  <c r="A17" i="4"/>
  <c r="D15" i="4"/>
  <c r="C15" i="4"/>
  <c r="B15" i="4"/>
  <c r="A15" i="4"/>
  <c r="D14" i="4"/>
  <c r="C14" i="4"/>
  <c r="B14" i="4"/>
  <c r="A14" i="4"/>
  <c r="D12" i="4"/>
  <c r="C12" i="4"/>
  <c r="B12" i="4"/>
  <c r="A12" i="4"/>
  <c r="D11" i="4"/>
  <c r="C11" i="4"/>
  <c r="B11" i="4"/>
  <c r="A11" i="4"/>
  <c r="D9" i="4"/>
  <c r="C9" i="4"/>
  <c r="B9" i="4"/>
  <c r="A9" i="4"/>
  <c r="D8" i="4"/>
  <c r="C8" i="4"/>
  <c r="B8" i="4"/>
  <c r="A8" i="4"/>
  <c r="D6" i="4"/>
  <c r="C6" i="4"/>
  <c r="B6" i="4"/>
  <c r="A6" i="4"/>
  <c r="D5" i="4"/>
  <c r="C5" i="4"/>
  <c r="B5" i="4"/>
  <c r="A5" i="4"/>
  <c r="D3" i="4"/>
  <c r="C3" i="4"/>
  <c r="B3" i="4"/>
  <c r="A3" i="4"/>
  <c r="D2" i="4"/>
  <c r="C2" i="4"/>
  <c r="B2" i="4"/>
  <c r="A2" i="4"/>
  <c r="A24" i="3"/>
  <c r="D22" i="3"/>
  <c r="C22" i="3"/>
  <c r="B22" i="3"/>
  <c r="A22" i="3"/>
  <c r="D21" i="3"/>
  <c r="C21" i="3"/>
  <c r="B21" i="3"/>
  <c r="A21" i="3"/>
  <c r="D20" i="3"/>
  <c r="C20" i="3"/>
  <c r="B20" i="3"/>
  <c r="A20" i="3"/>
  <c r="D18" i="3"/>
  <c r="C18" i="3"/>
  <c r="B18" i="3"/>
  <c r="A18" i="3"/>
  <c r="D17" i="3"/>
  <c r="C17" i="3"/>
  <c r="B17" i="3"/>
  <c r="A17" i="3"/>
  <c r="D15" i="3"/>
  <c r="C15" i="3"/>
  <c r="B15" i="3"/>
  <c r="A15" i="3"/>
  <c r="D14" i="3"/>
  <c r="C14" i="3"/>
  <c r="B14" i="3"/>
  <c r="A14" i="3"/>
  <c r="D12" i="3"/>
  <c r="C12" i="3"/>
  <c r="B12" i="3"/>
  <c r="A12" i="3"/>
  <c r="D11" i="3"/>
  <c r="C11" i="3"/>
  <c r="B11" i="3"/>
  <c r="A11" i="3"/>
  <c r="D9" i="3"/>
  <c r="C9" i="3"/>
  <c r="B9" i="3"/>
  <c r="A9" i="3"/>
  <c r="D8" i="3"/>
  <c r="C8" i="3"/>
  <c r="B8" i="3"/>
  <c r="A8" i="3"/>
  <c r="D6" i="3"/>
  <c r="C6" i="3"/>
  <c r="B6" i="3"/>
  <c r="A6" i="3"/>
  <c r="D5" i="3"/>
  <c r="C5" i="3"/>
  <c r="B5" i="3"/>
  <c r="A5" i="3"/>
  <c r="D3" i="3"/>
  <c r="C3" i="3"/>
  <c r="B3" i="3"/>
  <c r="A3" i="3"/>
  <c r="D2" i="3"/>
  <c r="C2" i="3"/>
  <c r="B2" i="3"/>
  <c r="A2" i="3"/>
  <c r="A24" i="2"/>
  <c r="D22" i="2"/>
  <c r="C22" i="2"/>
  <c r="B22" i="2"/>
  <c r="A22" i="2"/>
  <c r="D21" i="2"/>
  <c r="C21" i="2"/>
  <c r="B21" i="2"/>
  <c r="A21" i="2"/>
  <c r="D20" i="2"/>
  <c r="C20" i="2"/>
  <c r="B20" i="2"/>
  <c r="A20" i="2"/>
  <c r="D18" i="2"/>
  <c r="C18" i="2"/>
  <c r="B18" i="2"/>
  <c r="A18" i="2"/>
  <c r="D17" i="2"/>
  <c r="C17" i="2"/>
  <c r="B17" i="2"/>
  <c r="A17" i="2"/>
  <c r="D15" i="2"/>
  <c r="C15" i="2"/>
  <c r="B15" i="2"/>
  <c r="A15" i="2"/>
  <c r="D14" i="2"/>
  <c r="C14" i="2"/>
  <c r="B14" i="2"/>
  <c r="A14" i="2"/>
  <c r="D12" i="2"/>
  <c r="C12" i="2"/>
  <c r="B12" i="2"/>
  <c r="A12" i="2"/>
  <c r="D11" i="2"/>
  <c r="C11" i="2"/>
  <c r="B11" i="2"/>
  <c r="A11" i="2"/>
  <c r="D9" i="2"/>
  <c r="C9" i="2"/>
  <c r="B9" i="2"/>
  <c r="A9" i="2"/>
  <c r="D8" i="2"/>
  <c r="C8" i="2"/>
  <c r="B8" i="2"/>
  <c r="A8" i="2"/>
  <c r="D6" i="2"/>
  <c r="C6" i="2"/>
  <c r="B6" i="2"/>
  <c r="A6" i="2"/>
  <c r="D5" i="2"/>
  <c r="C5" i="2"/>
  <c r="B5" i="2"/>
  <c r="A5" i="2"/>
  <c r="D3" i="2"/>
  <c r="C3" i="2"/>
  <c r="B3" i="2"/>
  <c r="A3" i="2"/>
  <c r="D2" i="2"/>
  <c r="C2" i="2"/>
  <c r="B2" i="2"/>
  <c r="A2" i="2"/>
  <c r="A24" i="1"/>
  <c r="D22" i="1"/>
  <c r="C22" i="1"/>
  <c r="B22" i="1"/>
  <c r="A22" i="1"/>
  <c r="D21" i="1"/>
  <c r="C21" i="1"/>
  <c r="B21" i="1"/>
  <c r="A21" i="1"/>
  <c r="D20" i="1"/>
  <c r="C20" i="1"/>
  <c r="B20" i="1"/>
  <c r="A20" i="1"/>
  <c r="D18" i="1"/>
  <c r="C18" i="1"/>
  <c r="B18" i="1"/>
  <c r="A18" i="1"/>
  <c r="D17" i="1"/>
  <c r="C17" i="1"/>
  <c r="B17" i="1"/>
  <c r="A17" i="1"/>
  <c r="D15" i="1"/>
  <c r="C15" i="1"/>
  <c r="B15" i="1"/>
  <c r="A15" i="1"/>
  <c r="D14" i="1"/>
  <c r="C14" i="1"/>
  <c r="B14" i="1"/>
  <c r="A14" i="1"/>
  <c r="D12" i="1"/>
  <c r="C12" i="1"/>
  <c r="B12" i="1"/>
  <c r="A12" i="1"/>
  <c r="D11" i="1"/>
  <c r="C11" i="1"/>
  <c r="B11" i="1"/>
  <c r="A11" i="1"/>
  <c r="D9" i="1"/>
  <c r="C9" i="1"/>
  <c r="B9" i="1"/>
  <c r="A9" i="1"/>
  <c r="D8" i="1"/>
  <c r="C8" i="1"/>
  <c r="B8" i="1"/>
  <c r="A8" i="1"/>
  <c r="D6" i="1"/>
  <c r="C6" i="1"/>
  <c r="B6" i="1"/>
  <c r="A6" i="1"/>
  <c r="D5" i="1"/>
  <c r="C5" i="1"/>
  <c r="B5" i="1"/>
  <c r="A5" i="1"/>
  <c r="D3" i="1"/>
  <c r="C3" i="1"/>
  <c r="B3" i="1"/>
  <c r="A3" i="1"/>
  <c r="D2" i="1"/>
  <c r="C2" i="1"/>
  <c r="B2" i="1"/>
  <c r="A2" i="1"/>
</calcChain>
</file>

<file path=xl/sharedStrings.xml><?xml version="1.0" encoding="utf-8"?>
<sst xmlns="http://schemas.openxmlformats.org/spreadsheetml/2006/main" count="47" uniqueCount="19">
  <si>
    <t>="* p&lt;0.10</t>
  </si>
  <si>
    <t xml:space="preserve"> ** p&lt;0.05</t>
  </si>
  <si>
    <t xml:space="preserve"> *** p&lt;0.01"</t>
  </si>
  <si>
    <t>* briyear=1 if year&gt;=2013</t>
  </si>
  <si>
    <t>* post_did=briyear*bri</t>
  </si>
  <si>
    <t>* bri: time-constant (up to 2019.12.31)</t>
  </si>
  <si>
    <t>* fixed effects: year, country</t>
  </si>
  <si>
    <t>* briyear=1 if year&gt;=2017</t>
  </si>
  <si>
    <t>* briyear=1 if year&gt;=2015</t>
  </si>
  <si>
    <t>* briyear=1 if year&gt;=2014</t>
  </si>
  <si>
    <t>*  sample: 135 countries</t>
  </si>
  <si>
    <t>* sample: 11 countries</t>
  </si>
  <si>
    <t>* sample: 33 countries</t>
  </si>
  <si>
    <t>* sample: 37 countries</t>
  </si>
  <si>
    <t>* post_did=briyear*bri=briyear, as bri=1 for all countries</t>
  </si>
  <si>
    <t>* sample: 92 BRI countries</t>
  </si>
  <si>
    <t>brientry</t>
  </si>
  <si>
    <t>* brientry =1 if the country is a BRI memer at year t (time-variant)</t>
  </si>
  <si>
    <t>country_it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</si>
</sst>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FDDE-493B-46D5-90B6-E6C702939F17}">
  <dimension ref="A2:F25"/>
  <sheetViews>
    <sheetView workbookViewId="0">
      <selection activeCell="G10" sqref="G10"/>
    </sheetView>
  </sheetViews>
  <sheetFormatPr defaultRowHeight="14.4"/>
  <cols>
    <col min="1" max="1" width="26.21875" bestFit="1" customWidth="1"/>
    <col min="2" max="2" width="33.21875" bestFit="1" customWidth="1"/>
    <col min="3" max="3" width="30.88671875" bestFit="1" customWidth="1"/>
    <col min="4" max="4" width="31.6640625" bestFit="1" customWidth="1"/>
  </cols>
  <sheetData>
    <row r="2" spans="1:6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</row>
    <row r="3" spans="1:6">
      <c r="A3" t="str">
        <f>""</f>
        <v/>
      </c>
      <c r="B3" t="str">
        <f>"ln (import from ROW (excluding China))"</f>
        <v>ln (import from ROW (excluding China))</v>
      </c>
      <c r="C3" t="str">
        <f>"ln (export to ROW (excluding China))"</f>
        <v>ln (export to ROW (excluding China))</v>
      </c>
      <c r="D3" t="str">
        <f>"ln (trade with ROW (excluding China))"</f>
        <v>ln (trade with ROW (excluding China))</v>
      </c>
      <c r="F3" t="s">
        <v>10</v>
      </c>
    </row>
    <row r="4" spans="1:6">
      <c r="F4" t="s">
        <v>3</v>
      </c>
    </row>
    <row r="5" spans="1:6">
      <c r="A5" t="str">
        <f>"post_did"</f>
        <v>post_did</v>
      </c>
      <c r="B5" t="str">
        <f>"0.0117"</f>
        <v>0.0117</v>
      </c>
      <c r="C5" t="str">
        <f>"-0.0335"</f>
        <v>-0.0335</v>
      </c>
      <c r="D5" t="str">
        <f>"-0.0107"</f>
        <v>-0.0107</v>
      </c>
      <c r="F5" t="s">
        <v>5</v>
      </c>
    </row>
    <row r="6" spans="1:6">
      <c r="A6" t="str">
        <f>""</f>
        <v/>
      </c>
      <c r="B6" t="str">
        <f>"(0.0166)"</f>
        <v>(0.0166)</v>
      </c>
      <c r="C6" t="str">
        <f>"(0.0290)"</f>
        <v>(0.0290)</v>
      </c>
      <c r="D6" t="str">
        <f>"(0.0156)"</f>
        <v>(0.0156)</v>
      </c>
      <c r="F6" t="s">
        <v>4</v>
      </c>
    </row>
    <row r="7" spans="1:6">
      <c r="F7" t="s">
        <v>6</v>
      </c>
    </row>
    <row r="8" spans="1:6">
      <c r="A8" t="str">
        <f>"briyear"</f>
        <v>briyear</v>
      </c>
      <c r="B8" t="str">
        <f>"0.127***"</f>
        <v>0.127***</v>
      </c>
      <c r="C8" t="str">
        <f>"0.101***"</f>
        <v>0.101***</v>
      </c>
      <c r="D8" t="str">
        <f>"0.113***"</f>
        <v>0.113***</v>
      </c>
    </row>
    <row r="9" spans="1:6">
      <c r="A9" t="str">
        <f>""</f>
        <v/>
      </c>
      <c r="B9" t="str">
        <f>"(0.0240)"</f>
        <v>(0.0240)</v>
      </c>
      <c r="C9" t="str">
        <f>"(0.0344)"</f>
        <v>(0.0344)</v>
      </c>
      <c r="D9" t="str">
        <f>"(0.0218)"</f>
        <v>(0.0218)</v>
      </c>
    </row>
    <row r="11" spans="1:6">
      <c r="A11" t="str">
        <f>"BRI"</f>
        <v>BRI</v>
      </c>
      <c r="B11" t="str">
        <f>"1.495***"</f>
        <v>1.495***</v>
      </c>
      <c r="C11" t="str">
        <f>"3.392***"</f>
        <v>3.392***</v>
      </c>
      <c r="D11" t="str">
        <f>"1.950***"</f>
        <v>1.950***</v>
      </c>
    </row>
    <row r="12" spans="1:6">
      <c r="A12" t="str">
        <f>""</f>
        <v/>
      </c>
      <c r="B12" t="str">
        <f>"(0.242)"</f>
        <v>(0.242)</v>
      </c>
      <c r="C12" t="str">
        <f>"(0.329)"</f>
        <v>(0.329)</v>
      </c>
      <c r="D12" t="str">
        <f>"(0.235)"</f>
        <v>(0.235)</v>
      </c>
    </row>
    <row r="14" spans="1:6">
      <c r="A14" t="str">
        <f>"ln (GDP)"</f>
        <v>ln (GDP)</v>
      </c>
      <c r="B14" t="str">
        <f>"0.487***"</f>
        <v>0.487***</v>
      </c>
      <c r="C14" t="str">
        <f>"0.591***"</f>
        <v>0.591***</v>
      </c>
      <c r="D14" t="str">
        <f>"0.551***"</f>
        <v>0.551***</v>
      </c>
    </row>
    <row r="15" spans="1:6">
      <c r="A15" t="str">
        <f>""</f>
        <v/>
      </c>
      <c r="B15" t="str">
        <f>"(0.0447)"</f>
        <v>(0.0447)</v>
      </c>
      <c r="C15" t="str">
        <f>"(0.0595)"</f>
        <v>(0.0595)</v>
      </c>
      <c r="D15" t="str">
        <f>"(0.0403)"</f>
        <v>(0.0403)</v>
      </c>
    </row>
    <row r="17" spans="1:4">
      <c r="A17" t="str">
        <f>"Constant"</f>
        <v>Constant</v>
      </c>
      <c r="B17" t="str">
        <f>"9.599***"</f>
        <v>9.599***</v>
      </c>
      <c r="C17" t="str">
        <f>"5.454***"</f>
        <v>5.454***</v>
      </c>
      <c r="D17" t="str">
        <f>"8.433***"</f>
        <v>8.433***</v>
      </c>
    </row>
    <row r="18" spans="1:4">
      <c r="A18" t="str">
        <f>""</f>
        <v/>
      </c>
      <c r="B18" t="str">
        <f>"(0.905)"</f>
        <v>(0.905)</v>
      </c>
      <c r="C18" t="str">
        <f>"(1.206)"</f>
        <v>(1.206)</v>
      </c>
      <c r="D18" t="str">
        <f>"(0.817)"</f>
        <v>(0.817)</v>
      </c>
    </row>
    <row r="20" spans="1:4">
      <c r="A20" t="str">
        <f>"Observations"</f>
        <v>Observations</v>
      </c>
      <c r="B20" t="str">
        <f>"1214"</f>
        <v>1214</v>
      </c>
      <c r="C20" t="str">
        <f>"1212"</f>
        <v>1212</v>
      </c>
      <c r="D20" t="str">
        <f>"1215"</f>
        <v>1215</v>
      </c>
    </row>
    <row r="21" spans="1:4">
      <c r="A21" t="str">
        <f>"R-squared"</f>
        <v>R-squared</v>
      </c>
      <c r="B21" t="str">
        <f>"0.996"</f>
        <v>0.996</v>
      </c>
      <c r="C21" t="str">
        <f>"0.990"</f>
        <v>0.990</v>
      </c>
      <c r="D21" t="str">
        <f>"0.997"</f>
        <v>0.997</v>
      </c>
    </row>
    <row r="22" spans="1:4">
      <c r="A22" t="str">
        <f>"AIC"</f>
        <v>AIC</v>
      </c>
      <c r="B22" t="str">
        <f>"-1103.1"</f>
        <v>-1103.1</v>
      </c>
      <c r="C22" t="str">
        <f>"570.8"</f>
        <v>570.8</v>
      </c>
      <c r="D22" t="str">
        <f>"-1243.7"</f>
        <v>-1243.7</v>
      </c>
    </row>
    <row r="24" spans="1:4">
      <c r="A24" t="str">
        <f>"Standard errors in parentheses"</f>
        <v>Standard errors in parentheses</v>
      </c>
    </row>
    <row r="25" spans="1:4">
      <c r="A25" t="s">
        <v>0</v>
      </c>
      <c r="B25" t="s">
        <v>1</v>
      </c>
      <c r="C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74A3-1CA5-4BEA-A773-7A1B2E412E34}">
  <dimension ref="A2:F25"/>
  <sheetViews>
    <sheetView workbookViewId="0">
      <selection activeCell="H16" sqref="H16"/>
    </sheetView>
  </sheetViews>
  <sheetFormatPr defaultRowHeight="14.4"/>
  <cols>
    <col min="1" max="1" width="26.21875" bestFit="1" customWidth="1"/>
    <col min="2" max="2" width="33.21875" bestFit="1" customWidth="1"/>
    <col min="3" max="3" width="30.88671875" bestFit="1" customWidth="1"/>
    <col min="4" max="4" width="31.6640625" bestFit="1" customWidth="1"/>
  </cols>
  <sheetData>
    <row r="2" spans="1:6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</row>
    <row r="3" spans="1:6">
      <c r="A3" t="str">
        <f>""</f>
        <v/>
      </c>
      <c r="B3" t="str">
        <f>"ln (import from ROW (excluding China))"</f>
        <v>ln (import from ROW (excluding China))</v>
      </c>
      <c r="C3" t="str">
        <f>"ln (export to ROW (excluding China))"</f>
        <v>ln (export to ROW (excluding China))</v>
      </c>
      <c r="D3" t="str">
        <f>"ln (trade with ROW (excluding China))"</f>
        <v>ln (trade with ROW (excluding China))</v>
      </c>
    </row>
    <row r="4" spans="1:6">
      <c r="F4" t="s">
        <v>11</v>
      </c>
    </row>
    <row r="5" spans="1:6">
      <c r="A5" t="str">
        <f>"post_did"</f>
        <v>post_did</v>
      </c>
      <c r="B5" t="str">
        <f>"-0.0778"</f>
        <v>-0.0778</v>
      </c>
      <c r="C5" t="str">
        <f>"-0.163"</f>
        <v>-0.163</v>
      </c>
      <c r="D5" t="str">
        <f>"-0.0241"</f>
        <v>-0.0241</v>
      </c>
      <c r="F5" t="s">
        <v>7</v>
      </c>
    </row>
    <row r="6" spans="1:6">
      <c r="A6" t="str">
        <f>""</f>
        <v/>
      </c>
      <c r="B6" t="str">
        <f>"(0.107)"</f>
        <v>(0.107)</v>
      </c>
      <c r="C6" t="str">
        <f>"(0.297)"</f>
        <v>(0.297)</v>
      </c>
      <c r="D6" t="str">
        <f>"(0.123)"</f>
        <v>(0.123)</v>
      </c>
      <c r="F6" t="s">
        <v>5</v>
      </c>
    </row>
    <row r="7" spans="1:6">
      <c r="F7" t="s">
        <v>4</v>
      </c>
    </row>
    <row r="8" spans="1:6">
      <c r="A8" t="str">
        <f>"briyear"</f>
        <v>briyear</v>
      </c>
      <c r="B8" t="str">
        <f>"0.544***"</f>
        <v>0.544***</v>
      </c>
      <c r="C8" t="str">
        <f>"0.239"</f>
        <v>0.239</v>
      </c>
      <c r="D8" t="str">
        <f>"0.490***"</f>
        <v>0.490***</v>
      </c>
      <c r="F8" t="s">
        <v>6</v>
      </c>
    </row>
    <row r="9" spans="1:6">
      <c r="A9" t="str">
        <f>""</f>
        <v/>
      </c>
      <c r="B9" t="str">
        <f>"(0.104)"</f>
        <v>(0.104)</v>
      </c>
      <c r="C9" t="str">
        <f>"(0.259)"</f>
        <v>(0.259)</v>
      </c>
      <c r="D9" t="str">
        <f>"(0.114)"</f>
        <v>(0.114)</v>
      </c>
    </row>
    <row r="11" spans="1:6">
      <c r="A11" t="str">
        <f>"BRI"</f>
        <v>BRI</v>
      </c>
      <c r="B11" t="str">
        <f>"-1.188***"</f>
        <v>-1.188***</v>
      </c>
      <c r="C11" t="str">
        <f>"-1.331***"</f>
        <v>-1.331***</v>
      </c>
      <c r="D11" t="str">
        <f>"-1.288***"</f>
        <v>-1.288***</v>
      </c>
    </row>
    <row r="12" spans="1:6">
      <c r="A12" t="str">
        <f>""</f>
        <v/>
      </c>
      <c r="B12" t="str">
        <f>"(0.205)"</f>
        <v>(0.205)</v>
      </c>
      <c r="C12" t="str">
        <f>"(0.333)"</f>
        <v>(0.333)</v>
      </c>
      <c r="D12" t="str">
        <f>"(0.188)"</f>
        <v>(0.188)</v>
      </c>
    </row>
    <row r="14" spans="1:6">
      <c r="A14" t="str">
        <f>"ln (GDP)"</f>
        <v>ln (GDP)</v>
      </c>
      <c r="B14" t="str">
        <f>"0.0391"</f>
        <v>0.0391</v>
      </c>
      <c r="C14" t="str">
        <f>"0.622**"</f>
        <v>0.622**</v>
      </c>
      <c r="D14" t="str">
        <f>"0.137"</f>
        <v>0.137</v>
      </c>
    </row>
    <row r="15" spans="1:6">
      <c r="A15" t="str">
        <f>""</f>
        <v/>
      </c>
      <c r="B15" t="str">
        <f>"(0.191)"</f>
        <v>(0.191)</v>
      </c>
      <c r="C15" t="str">
        <f>"(0.307)"</f>
        <v>(0.307)</v>
      </c>
      <c r="D15" t="str">
        <f>"(0.170)"</f>
        <v>(0.170)</v>
      </c>
    </row>
    <row r="17" spans="1:4">
      <c r="A17" t="str">
        <f>"Constant"</f>
        <v>Constant</v>
      </c>
      <c r="B17" t="str">
        <f>"20.30***"</f>
        <v>20.30***</v>
      </c>
      <c r="C17" t="str">
        <f>"6.474"</f>
        <v>6.474</v>
      </c>
      <c r="D17" t="str">
        <f>"18.47***"</f>
        <v>18.47***</v>
      </c>
    </row>
    <row r="18" spans="1:4">
      <c r="A18" t="str">
        <f>""</f>
        <v/>
      </c>
      <c r="B18" t="str">
        <f>"(4.274)"</f>
        <v>(4.274)</v>
      </c>
      <c r="C18" t="str">
        <f>"(6.878)"</f>
        <v>(6.878)</v>
      </c>
      <c r="D18" t="str">
        <f>"(3.799)"</f>
        <v>(3.799)</v>
      </c>
    </row>
    <row r="20" spans="1:4">
      <c r="A20" t="str">
        <f>"Observations"</f>
        <v>Observations</v>
      </c>
      <c r="B20" t="str">
        <f>"99"</f>
        <v>99</v>
      </c>
      <c r="C20" t="str">
        <f>"99"</f>
        <v>99</v>
      </c>
      <c r="D20" t="str">
        <f>"99"</f>
        <v>99</v>
      </c>
    </row>
    <row r="21" spans="1:4">
      <c r="A21" t="str">
        <f>"R-squared"</f>
        <v>R-squared</v>
      </c>
      <c r="B21" t="str">
        <f>"0.972"</f>
        <v>0.972</v>
      </c>
      <c r="C21" t="str">
        <f>"0.921"</f>
        <v>0.921</v>
      </c>
      <c r="D21" t="str">
        <f>"0.976"</f>
        <v>0.976</v>
      </c>
    </row>
    <row r="22" spans="1:4">
      <c r="A22" t="str">
        <f>"AIC"</f>
        <v>AIC</v>
      </c>
      <c r="B22" t="str">
        <f>"-18.06"</f>
        <v>-18.06</v>
      </c>
      <c r="C22" t="str">
        <f>"137.6"</f>
        <v>137.6</v>
      </c>
      <c r="D22" t="str">
        <f>"-25.17"</f>
        <v>-25.17</v>
      </c>
    </row>
    <row r="24" spans="1:4">
      <c r="A24" t="str">
        <f>"Standard errors in parentheses"</f>
        <v>Standard errors in parentheses</v>
      </c>
    </row>
    <row r="25" spans="1:4">
      <c r="A25" t="s">
        <v>0</v>
      </c>
      <c r="B25" t="s">
        <v>1</v>
      </c>
      <c r="C2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56A7-0BD5-4E5A-AB15-949DD17CC63D}">
  <dimension ref="A2:F25"/>
  <sheetViews>
    <sheetView workbookViewId="0">
      <selection activeCell="C28" sqref="C28"/>
    </sheetView>
  </sheetViews>
  <sheetFormatPr defaultRowHeight="14.4"/>
  <cols>
    <col min="1" max="1" width="26.21875" bestFit="1" customWidth="1"/>
    <col min="2" max="2" width="33.21875" bestFit="1" customWidth="1"/>
    <col min="3" max="3" width="30.88671875" bestFit="1" customWidth="1"/>
    <col min="4" max="4" width="31.6640625" bestFit="1" customWidth="1"/>
  </cols>
  <sheetData>
    <row r="2" spans="1:6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</row>
    <row r="3" spans="1:6">
      <c r="A3" t="str">
        <f>""</f>
        <v/>
      </c>
      <c r="B3" t="str">
        <f>"ln (import from ROW (excluding China))"</f>
        <v>ln (import from ROW (excluding China))</v>
      </c>
      <c r="C3" t="str">
        <f>"ln (export to ROW (excluding China))"</f>
        <v>ln (export to ROW (excluding China))</v>
      </c>
      <c r="D3" t="str">
        <f>"ln (trade with ROW (excluding China))"</f>
        <v>ln (trade with ROW (excluding China))</v>
      </c>
      <c r="F3" t="s">
        <v>12</v>
      </c>
    </row>
    <row r="4" spans="1:6">
      <c r="F4" t="s">
        <v>8</v>
      </c>
    </row>
    <row r="5" spans="1:6">
      <c r="A5" t="str">
        <f>"post_did"</f>
        <v>post_did</v>
      </c>
      <c r="B5" t="str">
        <f>"0.0478"</f>
        <v>0.0478</v>
      </c>
      <c r="C5" t="str">
        <f>"-0.106"</f>
        <v>-0.106</v>
      </c>
      <c r="D5" t="str">
        <f>"-0.0207"</f>
        <v>-0.0207</v>
      </c>
      <c r="F5" t="s">
        <v>5</v>
      </c>
    </row>
    <row r="6" spans="1:6">
      <c r="A6" t="str">
        <f>""</f>
        <v/>
      </c>
      <c r="B6" t="str">
        <f>"(0.0453)"</f>
        <v>(0.0453)</v>
      </c>
      <c r="C6" t="str">
        <f>"(0.0869)"</f>
        <v>(0.0869)</v>
      </c>
      <c r="D6" t="str">
        <f>"(0.0401)"</f>
        <v>(0.0401)</v>
      </c>
      <c r="F6" t="s">
        <v>4</v>
      </c>
    </row>
    <row r="7" spans="1:6">
      <c r="F7" t="s">
        <v>6</v>
      </c>
    </row>
    <row r="8" spans="1:6">
      <c r="A8" t="str">
        <f>"briyear"</f>
        <v>briyear</v>
      </c>
      <c r="B8" t="str">
        <f>"0.0531"</f>
        <v>0.0531</v>
      </c>
      <c r="C8" t="str">
        <f>"0.0563"</f>
        <v>0.0563</v>
      </c>
      <c r="D8" t="str">
        <f>"0.0665"</f>
        <v>0.0665</v>
      </c>
    </row>
    <row r="9" spans="1:6">
      <c r="A9" t="str">
        <f>""</f>
        <v/>
      </c>
      <c r="B9" t="str">
        <f>"(0.0800)"</f>
        <v>(0.0800)</v>
      </c>
      <c r="C9" t="str">
        <f>"(0.133)"</f>
        <v>(0.133)</v>
      </c>
      <c r="D9" t="str">
        <f>"(0.0667)"</f>
        <v>(0.0667)</v>
      </c>
    </row>
    <row r="11" spans="1:6">
      <c r="A11" t="str">
        <f>"BRI"</f>
        <v>BRI</v>
      </c>
      <c r="B11" t="str">
        <f>"0.244"</f>
        <v>0.244</v>
      </c>
      <c r="C11" t="str">
        <f>"-0.152"</f>
        <v>-0.152</v>
      </c>
      <c r="D11" t="str">
        <f>"0.297"</f>
        <v>0.297</v>
      </c>
    </row>
    <row r="12" spans="1:6">
      <c r="A12" t="str">
        <f>""</f>
        <v/>
      </c>
      <c r="B12" t="str">
        <f>"(0.373)"</f>
        <v>(0.373)</v>
      </c>
      <c r="C12" t="str">
        <f>"(0.523)"</f>
        <v>(0.523)</v>
      </c>
      <c r="D12" t="str">
        <f>"(0.329)"</f>
        <v>(0.329)</v>
      </c>
    </row>
    <row r="14" spans="1:6">
      <c r="A14" t="str">
        <f>"ln (GDP)"</f>
        <v>ln (GDP)</v>
      </c>
      <c r="B14" t="str">
        <f>"0.629***"</f>
        <v>0.629***</v>
      </c>
      <c r="C14" t="str">
        <f>"0.862***"</f>
        <v>0.862***</v>
      </c>
      <c r="D14" t="str">
        <f>"0.673***"</f>
        <v>0.673***</v>
      </c>
    </row>
    <row r="15" spans="1:6">
      <c r="A15" t="str">
        <f>""</f>
        <v/>
      </c>
      <c r="B15" t="str">
        <f>"(0.107)"</f>
        <v>(0.107)</v>
      </c>
      <c r="C15" t="str">
        <f>"(0.149)"</f>
        <v>(0.149)</v>
      </c>
      <c r="D15" t="str">
        <f>"(0.0926)"</f>
        <v>(0.0926)</v>
      </c>
    </row>
    <row r="17" spans="1:4">
      <c r="A17" t="str">
        <f>"Constant"</f>
        <v>Constant</v>
      </c>
      <c r="B17" t="str">
        <f>"7.258***"</f>
        <v>7.258***</v>
      </c>
      <c r="C17" t="str">
        <f>"2.182"</f>
        <v>2.182</v>
      </c>
      <c r="D17" t="str">
        <f>"7.016***"</f>
        <v>7.016***</v>
      </c>
    </row>
    <row r="18" spans="1:4">
      <c r="A18" t="str">
        <f>""</f>
        <v/>
      </c>
      <c r="B18" t="str">
        <f>"(2.340)"</f>
        <v>(2.340)</v>
      </c>
      <c r="C18" t="str">
        <f>"(3.237)"</f>
        <v>(3.237)</v>
      </c>
      <c r="D18" t="str">
        <f>"(2.027)"</f>
        <v>(2.027)</v>
      </c>
    </row>
    <row r="20" spans="1:4">
      <c r="A20" t="str">
        <f>"Observations"</f>
        <v>Observations</v>
      </c>
      <c r="B20" t="str">
        <f>"297"</f>
        <v>297</v>
      </c>
      <c r="C20" t="str">
        <f>"297"</f>
        <v>297</v>
      </c>
      <c r="D20" t="str">
        <f>"297"</f>
        <v>297</v>
      </c>
    </row>
    <row r="21" spans="1:4">
      <c r="A21" t="str">
        <f>"R-squared"</f>
        <v>R-squared</v>
      </c>
      <c r="B21" t="str">
        <f>"0.990"</f>
        <v>0.990</v>
      </c>
      <c r="C21" t="str">
        <f>"0.964"</f>
        <v>0.964</v>
      </c>
      <c r="D21" t="str">
        <f>"0.993"</f>
        <v>0.993</v>
      </c>
    </row>
    <row r="22" spans="1:4">
      <c r="A22" t="str">
        <f>"AIC"</f>
        <v>AIC</v>
      </c>
      <c r="B22" t="str">
        <f>"-128.5"</f>
        <v>-128.5</v>
      </c>
      <c r="C22" t="str">
        <f>"434.6"</f>
        <v>434.6</v>
      </c>
      <c r="D22" t="str">
        <f>"-180.6"</f>
        <v>-180.6</v>
      </c>
    </row>
    <row r="24" spans="1:4">
      <c r="A24" t="str">
        <f>"Standard errors in parentheses"</f>
        <v>Standard errors in parentheses</v>
      </c>
    </row>
    <row r="25" spans="1:4">
      <c r="A25" t="s">
        <v>0</v>
      </c>
      <c r="B25" t="s">
        <v>1</v>
      </c>
      <c r="C2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D46C-FFF1-49CD-B2E2-CAF8DE29E2EF}">
  <dimension ref="A2:F25"/>
  <sheetViews>
    <sheetView workbookViewId="0">
      <selection activeCell="B28" sqref="B28"/>
    </sheetView>
  </sheetViews>
  <sheetFormatPr defaultRowHeight="14.4"/>
  <cols>
    <col min="1" max="1" width="26.21875" bestFit="1" customWidth="1"/>
    <col min="2" max="2" width="33.21875" bestFit="1" customWidth="1"/>
    <col min="3" max="3" width="30.88671875" bestFit="1" customWidth="1"/>
    <col min="4" max="4" width="31.6640625" bestFit="1" customWidth="1"/>
  </cols>
  <sheetData>
    <row r="2" spans="1:6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</row>
    <row r="3" spans="1:6">
      <c r="A3" t="str">
        <f>""</f>
        <v/>
      </c>
      <c r="B3" t="str">
        <f>"ln (import from ROW (excluding China))"</f>
        <v>ln (import from ROW (excluding China))</v>
      </c>
      <c r="C3" t="str">
        <f>"ln (export to ROW (excluding China))"</f>
        <v>ln (export to ROW (excluding China))</v>
      </c>
      <c r="D3" t="str">
        <f>"ln (trade with ROW (excluding China))"</f>
        <v>ln (trade with ROW (excluding China))</v>
      </c>
      <c r="F3" t="s">
        <v>13</v>
      </c>
    </row>
    <row r="4" spans="1:6">
      <c r="F4" t="s">
        <v>9</v>
      </c>
    </row>
    <row r="5" spans="1:6">
      <c r="A5" t="str">
        <f>"post_did"</f>
        <v>post_did</v>
      </c>
      <c r="B5" t="str">
        <f>"0.0348"</f>
        <v>0.0348</v>
      </c>
      <c r="C5" t="str">
        <f>"0.0359"</f>
        <v>0.0359</v>
      </c>
      <c r="D5" t="str">
        <f>"0.0406"</f>
        <v>0.0406</v>
      </c>
      <c r="F5" t="s">
        <v>5</v>
      </c>
    </row>
    <row r="6" spans="1:6">
      <c r="A6" t="str">
        <f>""</f>
        <v/>
      </c>
      <c r="B6" t="str">
        <f>"(0.0304)"</f>
        <v>(0.0304)</v>
      </c>
      <c r="C6" t="str">
        <f>"(0.0381)"</f>
        <v>(0.0381)</v>
      </c>
      <c r="D6" t="str">
        <f>"(0.0279)"</f>
        <v>(0.0279)</v>
      </c>
      <c r="F6" t="s">
        <v>4</v>
      </c>
    </row>
    <row r="7" spans="1:6">
      <c r="F7" t="s">
        <v>6</v>
      </c>
    </row>
    <row r="8" spans="1:6">
      <c r="A8" t="str">
        <f>"briyear"</f>
        <v>briyear</v>
      </c>
      <c r="B8" t="str">
        <f>"0.0812*"</f>
        <v>0.0812*</v>
      </c>
      <c r="C8" t="str">
        <f>"0.00972"</f>
        <v>0.00972</v>
      </c>
      <c r="D8" t="str">
        <f>"0.0307"</f>
        <v>0.0307</v>
      </c>
    </row>
    <row r="9" spans="1:6">
      <c r="A9" t="str">
        <f>""</f>
        <v/>
      </c>
      <c r="B9" t="str">
        <f>"(0.0418)"</f>
        <v>(0.0418)</v>
      </c>
      <c r="C9" t="str">
        <f>"(0.0540)"</f>
        <v>(0.0540)</v>
      </c>
      <c r="D9" t="str">
        <f>"(0.0386)"</f>
        <v>(0.0386)</v>
      </c>
    </row>
    <row r="11" spans="1:6">
      <c r="A11" t="str">
        <f>"BRI"</f>
        <v>BRI</v>
      </c>
      <c r="B11" t="str">
        <f>"1.220***"</f>
        <v>1.220***</v>
      </c>
      <c r="C11" t="str">
        <f>"2.041***"</f>
        <v>2.041***</v>
      </c>
      <c r="D11" t="str">
        <f>"1.135***"</f>
        <v>1.135***</v>
      </c>
    </row>
    <row r="12" spans="1:6">
      <c r="A12" t="str">
        <f>""</f>
        <v/>
      </c>
      <c r="B12" t="str">
        <f>"(0.207)"</f>
        <v>(0.207)</v>
      </c>
      <c r="C12" t="str">
        <f>"(0.187)"</f>
        <v>(0.187)</v>
      </c>
      <c r="D12" t="str">
        <f>"(0.171)"</f>
        <v>(0.171)</v>
      </c>
    </row>
    <row r="14" spans="1:6">
      <c r="A14" t="str">
        <f>"ln (GDP)"</f>
        <v>ln (GDP)</v>
      </c>
      <c r="B14" t="str">
        <f>"0.480***"</f>
        <v>0.480***</v>
      </c>
      <c r="C14" t="str">
        <f>"0.625***"</f>
        <v>0.625***</v>
      </c>
      <c r="D14" t="str">
        <f>"0.595***"</f>
        <v>0.595***</v>
      </c>
    </row>
    <row r="15" spans="1:6">
      <c r="A15" t="str">
        <f>""</f>
        <v/>
      </c>
      <c r="B15" t="str">
        <f>"(0.0688)"</f>
        <v>(0.0688)</v>
      </c>
      <c r="C15" t="str">
        <f>"(0.0633)"</f>
        <v>(0.0633)</v>
      </c>
      <c r="D15" t="str">
        <f>"(0.0564)"</f>
        <v>(0.0564)</v>
      </c>
    </row>
    <row r="17" spans="1:4">
      <c r="A17" t="str">
        <f>"Constant"</f>
        <v>Constant</v>
      </c>
      <c r="B17" t="str">
        <f>"9.777***"</f>
        <v>9.777***</v>
      </c>
      <c r="C17" t="str">
        <f>"4.818***"</f>
        <v>4.818***</v>
      </c>
      <c r="D17" t="str">
        <f>"7.584***"</f>
        <v>7.584***</v>
      </c>
    </row>
    <row r="18" spans="1:4">
      <c r="A18" t="str">
        <f>""</f>
        <v/>
      </c>
      <c r="B18" t="str">
        <f>"(1.393)"</f>
        <v>(1.393)</v>
      </c>
      <c r="C18" t="str">
        <f>"(1.285)"</f>
        <v>(1.285)</v>
      </c>
      <c r="D18" t="str">
        <f>"(1.142)"</f>
        <v>(1.142)</v>
      </c>
    </row>
    <row r="20" spans="1:4">
      <c r="A20" t="str">
        <f>"Observations"</f>
        <v>Observations</v>
      </c>
      <c r="B20" t="str">
        <f>"333"</f>
        <v>333</v>
      </c>
      <c r="C20" t="str">
        <f>"333"</f>
        <v>333</v>
      </c>
      <c r="D20" t="str">
        <f>"333"</f>
        <v>333</v>
      </c>
    </row>
    <row r="21" spans="1:4">
      <c r="A21" t="str">
        <f>"R-squared"</f>
        <v>R-squared</v>
      </c>
      <c r="B21" t="str">
        <f>"0.995"</f>
        <v>0.995</v>
      </c>
      <c r="C21" t="str">
        <f>"0.997"</f>
        <v>0.997</v>
      </c>
      <c r="D21" t="str">
        <f>"0.996"</f>
        <v>0.996</v>
      </c>
    </row>
    <row r="22" spans="1:4">
      <c r="A22" t="str">
        <f>"AIC"</f>
        <v>AIC</v>
      </c>
      <c r="B22" t="str">
        <f>"-299.5"</f>
        <v>-299.5</v>
      </c>
      <c r="C22" t="str">
        <f>"-271.4"</f>
        <v>-271.4</v>
      </c>
      <c r="D22" t="str">
        <f>"-354.4"</f>
        <v>-354.4</v>
      </c>
    </row>
    <row r="24" spans="1:4">
      <c r="A24" t="str">
        <f>"Standard errors in parentheses"</f>
        <v>Standard errors in parentheses</v>
      </c>
    </row>
    <row r="25" spans="1:4">
      <c r="A25" t="s">
        <v>0</v>
      </c>
      <c r="B25" t="s">
        <v>1</v>
      </c>
      <c r="C2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043D-5C9A-407C-AEEF-42A68616DA78}">
  <sheetPr>
    <tabColor theme="9"/>
  </sheetPr>
  <dimension ref="A2:F24"/>
  <sheetViews>
    <sheetView tabSelected="1" workbookViewId="0">
      <selection activeCell="C24" sqref="C24"/>
    </sheetView>
  </sheetViews>
  <sheetFormatPr defaultRowHeight="14.4"/>
  <cols>
    <col min="1" max="1" width="26.21875" bestFit="1" customWidth="1"/>
    <col min="2" max="2" width="40" bestFit="1" customWidth="1"/>
    <col min="3" max="3" width="37.5546875" bestFit="1" customWidth="1"/>
    <col min="4" max="4" width="38.44140625" bestFit="1" customWidth="1"/>
  </cols>
  <sheetData>
    <row r="2" spans="1:6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</row>
    <row r="3" spans="1:6">
      <c r="A3" t="str">
        <f>""</f>
        <v/>
      </c>
      <c r="B3" t="str">
        <f>"ln (import from BRI countries (excluding China))"</f>
        <v>ln (import from BRI countries (excluding China))</v>
      </c>
      <c r="C3" t="str">
        <f>"ln (export to BRI countries (excluding China))"</f>
        <v>ln (export to BRI countries (excluding China))</v>
      </c>
      <c r="D3" t="str">
        <f>"ln (trade with BRI countries (excluding China))"</f>
        <v>ln (trade with BRI countries (excluding China))</v>
      </c>
      <c r="F3" t="s">
        <v>15</v>
      </c>
    </row>
    <row r="4" spans="1:6">
      <c r="F4" t="s">
        <v>3</v>
      </c>
    </row>
    <row r="5" spans="1:6">
      <c r="A5" t="str">
        <f>"post_did"</f>
        <v>post_did</v>
      </c>
      <c r="B5" t="str">
        <f>"0.232***"</f>
        <v>0.232***</v>
      </c>
      <c r="C5" t="str">
        <f>"0.162***"</f>
        <v>0.162***</v>
      </c>
      <c r="D5" t="str">
        <f>"0.202***"</f>
        <v>0.202***</v>
      </c>
      <c r="F5" t="s">
        <v>14</v>
      </c>
    </row>
    <row r="6" spans="1:6">
      <c r="A6" t="str">
        <f>""</f>
        <v/>
      </c>
      <c r="B6" t="str">
        <f>"(0.0384)"</f>
        <v>(0.0384)</v>
      </c>
      <c r="C6" t="str">
        <f>"(0.0579)"</f>
        <v>(0.0579)</v>
      </c>
      <c r="D6" t="str">
        <f>"(0.0356)"</f>
        <v>(0.0356)</v>
      </c>
      <c r="F6" t="s">
        <v>6</v>
      </c>
    </row>
    <row r="8" spans="1:6">
      <c r="A8" t="str">
        <f>"ln (country's GDP)"</f>
        <v>ln (country's GDP)</v>
      </c>
      <c r="B8" t="str">
        <f>"0.517***"</f>
        <v>0.517***</v>
      </c>
      <c r="C8" t="str">
        <f>"0.644***"</f>
        <v>0.644***</v>
      </c>
      <c r="D8" t="str">
        <f>"0.575***"</f>
        <v>0.575***</v>
      </c>
    </row>
    <row r="9" spans="1:6">
      <c r="A9" t="str">
        <f>""</f>
        <v/>
      </c>
      <c r="B9" t="str">
        <f>"(0.0651)"</f>
        <v>(0.0651)</v>
      </c>
      <c r="C9" t="str">
        <f>"(0.0980)"</f>
        <v>(0.0980)</v>
      </c>
      <c r="D9" t="str">
        <f>"(0.0696)"</f>
        <v>(0.0696)</v>
      </c>
    </row>
    <row r="11" spans="1:6">
      <c r="A11" t="str">
        <f>"Constant"</f>
        <v>Constant</v>
      </c>
      <c r="B11" t="str">
        <f>"9.633***"</f>
        <v>9.633***</v>
      </c>
      <c r="C11" t="str">
        <f>"6.043**"</f>
        <v>6.043**</v>
      </c>
      <c r="D11" t="str">
        <f>"8.703***"</f>
        <v>8.703***</v>
      </c>
    </row>
    <row r="12" spans="1:6">
      <c r="A12" t="str">
        <f>""</f>
        <v/>
      </c>
      <c r="B12" t="str">
        <f>"(1.645)"</f>
        <v>(1.645)</v>
      </c>
      <c r="C12" t="str">
        <f>"(2.476)"</f>
        <v>(2.476)</v>
      </c>
      <c r="D12" t="str">
        <f>"(1.760)"</f>
        <v>(1.760)</v>
      </c>
    </row>
    <row r="14" spans="1:6">
      <c r="A14" t="str">
        <f>"Observations"</f>
        <v>Observations</v>
      </c>
      <c r="B14" t="str">
        <f>"826"</f>
        <v>826</v>
      </c>
      <c r="C14" t="str">
        <f>"828"</f>
        <v>828</v>
      </c>
      <c r="D14" t="str">
        <f>"828"</f>
        <v>828</v>
      </c>
    </row>
    <row r="15" spans="1:6">
      <c r="A15" t="str">
        <f>"R-squared"</f>
        <v>R-squared</v>
      </c>
      <c r="B15" t="str">
        <f>"0.990"</f>
        <v>0.990</v>
      </c>
      <c r="C15" t="str">
        <f>"0.979"</f>
        <v>0.979</v>
      </c>
      <c r="D15" t="str">
        <f>"0.992"</f>
        <v>0.992</v>
      </c>
    </row>
    <row r="16" spans="1:6">
      <c r="A16" t="str">
        <f>"AIC"</f>
        <v>AIC</v>
      </c>
      <c r="B16" t="str">
        <f>"-266.4"</f>
        <v>-266.4</v>
      </c>
      <c r="C16" t="str">
        <f>"851.6"</f>
        <v>851.6</v>
      </c>
      <c r="D16" t="str">
        <f>"-340.6"</f>
        <v>-340.6</v>
      </c>
    </row>
    <row r="18" spans="1:3">
      <c r="A18" t="str">
        <f>"Standard errors in parentheses"</f>
        <v>Standard errors in parentheses</v>
      </c>
    </row>
    <row r="19" spans="1:3">
      <c r="A19" t="s">
        <v>0</v>
      </c>
      <c r="B19" t="s">
        <v>1</v>
      </c>
      <c r="C19" t="s">
        <v>2</v>
      </c>
    </row>
    <row r="24" spans="1:3">
      <c r="C2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C061-F111-4897-ABF1-6F2EA693C889}">
  <dimension ref="A2:F19"/>
  <sheetViews>
    <sheetView workbookViewId="0">
      <selection activeCell="B27" sqref="B27"/>
    </sheetView>
  </sheetViews>
  <sheetFormatPr defaultRowHeight="14.4"/>
  <cols>
    <col min="1" max="1" width="26.21875" bestFit="1" customWidth="1"/>
    <col min="2" max="2" width="40" bestFit="1" customWidth="1"/>
    <col min="3" max="3" width="37.5546875" bestFit="1" customWidth="1"/>
    <col min="4" max="4" width="38.44140625" bestFit="1" customWidth="1"/>
  </cols>
  <sheetData>
    <row r="2" spans="1:6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</row>
    <row r="3" spans="1:6">
      <c r="A3" t="str">
        <f>""</f>
        <v/>
      </c>
      <c r="B3" t="str">
        <f>"ln (import from BRI countries (excluding China))"</f>
        <v>ln (import from BRI countries (excluding China))</v>
      </c>
      <c r="C3" t="str">
        <f>"ln (export to BRI countries (excluding China))"</f>
        <v>ln (export to BRI countries (excluding China))</v>
      </c>
      <c r="D3" t="str">
        <f>"ln (trade with BRI countries (excluding China))"</f>
        <v>ln (trade with BRI countries (excluding China))</v>
      </c>
      <c r="F3" t="s">
        <v>15</v>
      </c>
    </row>
    <row r="4" spans="1:6">
      <c r="F4" t="s">
        <v>17</v>
      </c>
    </row>
    <row r="5" spans="1:6">
      <c r="A5" t="s">
        <v>16</v>
      </c>
      <c r="B5" t="str">
        <f>"0.0297"</f>
        <v>0.0297</v>
      </c>
      <c r="C5" t="str">
        <f>"0.0740*"</f>
        <v>0.0740*</v>
      </c>
      <c r="D5" t="str">
        <f>"0.0401"</f>
        <v>0.0401</v>
      </c>
      <c r="F5" t="s">
        <v>6</v>
      </c>
    </row>
    <row r="6" spans="1:6">
      <c r="A6" t="str">
        <f>""</f>
        <v/>
      </c>
      <c r="B6" t="str">
        <f>"(0.0329)"</f>
        <v>(0.0329)</v>
      </c>
      <c r="C6" t="str">
        <f>"(0.0438)"</f>
        <v>(0.0438)</v>
      </c>
      <c r="D6" t="str">
        <f>"(0.0321)"</f>
        <v>(0.0321)</v>
      </c>
    </row>
    <row r="8" spans="1:6">
      <c r="A8" t="str">
        <f>"ln (country's GDP)"</f>
        <v>ln (country's GDP)</v>
      </c>
      <c r="B8" t="str">
        <f>"0.525***"</f>
        <v>0.525***</v>
      </c>
      <c r="C8" t="str">
        <f>"0.664***"</f>
        <v>0.664***</v>
      </c>
      <c r="D8" t="str">
        <f>"0.585***"</f>
        <v>0.585***</v>
      </c>
    </row>
    <row r="9" spans="1:6">
      <c r="A9" t="str">
        <f>""</f>
        <v/>
      </c>
      <c r="B9" t="str">
        <f>"(0.0670)"</f>
        <v>(0.0670)</v>
      </c>
      <c r="C9" t="str">
        <f>"(0.101)"</f>
        <v>(0.101)</v>
      </c>
      <c r="D9" t="str">
        <f>"(0.0725)"</f>
        <v>(0.0725)</v>
      </c>
    </row>
    <row r="11" spans="1:6">
      <c r="A11" t="str">
        <f>"Constant"</f>
        <v>Constant</v>
      </c>
      <c r="B11" t="str">
        <f>"9.439***"</f>
        <v>9.439***</v>
      </c>
      <c r="C11" t="str">
        <f>"5.555**"</f>
        <v>5.555**</v>
      </c>
      <c r="D11" t="str">
        <f>"8.439***"</f>
        <v>8.439***</v>
      </c>
    </row>
    <row r="12" spans="1:6">
      <c r="A12" t="str">
        <f>""</f>
        <v/>
      </c>
      <c r="B12" t="str">
        <f>"(1.693)"</f>
        <v>(1.693)</v>
      </c>
      <c r="C12" t="str">
        <f>"(2.542)"</f>
        <v>(2.542)</v>
      </c>
      <c r="D12" t="str">
        <f>"(1.831)"</f>
        <v>(1.831)</v>
      </c>
    </row>
    <row r="14" spans="1:6">
      <c r="A14" t="str">
        <f>"Observations"</f>
        <v>Observations</v>
      </c>
      <c r="B14" t="str">
        <f>"826"</f>
        <v>826</v>
      </c>
      <c r="C14" t="str">
        <f>"828"</f>
        <v>828</v>
      </c>
      <c r="D14" t="str">
        <f>"828"</f>
        <v>828</v>
      </c>
    </row>
    <row r="15" spans="1:6">
      <c r="A15" t="str">
        <f>"R-squared"</f>
        <v>R-squared</v>
      </c>
      <c r="B15" t="str">
        <f>"0.990"</f>
        <v>0.990</v>
      </c>
      <c r="C15" t="str">
        <f>"0.979"</f>
        <v>0.979</v>
      </c>
      <c r="D15" t="str">
        <f>"0.992"</f>
        <v>0.992</v>
      </c>
    </row>
    <row r="16" spans="1:6">
      <c r="A16" t="str">
        <f>"AIC"</f>
        <v>AIC</v>
      </c>
      <c r="B16" t="str">
        <f>"-265.6"</f>
        <v>-265.6</v>
      </c>
      <c r="C16" t="str">
        <f>"851.7"</f>
        <v>851.7</v>
      </c>
      <c r="D16" t="str">
        <f>"-341.0"</f>
        <v>-341.0</v>
      </c>
    </row>
    <row r="18" spans="1:3">
      <c r="A18" t="str">
        <f>"Standard errors in parentheses"</f>
        <v>Standard errors in parentheses</v>
      </c>
    </row>
    <row r="19" spans="1:3">
      <c r="A19" t="s">
        <v>0</v>
      </c>
      <c r="B19" t="s">
        <v>1</v>
      </c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all_ols_row</vt:lpstr>
      <vt:lpstr>low income_ols_row</vt:lpstr>
      <vt:lpstr>lower middle income_ols_row</vt:lpstr>
      <vt:lpstr>upper middle income_ols_row</vt:lpstr>
      <vt:lpstr>bri_ols_row_post_did</vt:lpstr>
      <vt:lpstr>bri_ols_row_brientry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边策</dc:creator>
  <cp:lastModifiedBy>边策</cp:lastModifiedBy>
  <dcterms:created xsi:type="dcterms:W3CDTF">2021-03-21T00:41:35Z</dcterms:created>
  <dcterms:modified xsi:type="dcterms:W3CDTF">2021-03-21T03:33:55Z</dcterms:modified>
</cp:coreProperties>
</file>