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AN CE\BRI_paper\gravity\Regression_gravity\"/>
    </mc:Choice>
  </mc:AlternateContent>
  <xr:revisionPtr revIDLastSave="0" documentId="13_ncr:1_{F8B78F7C-9636-40F6-BD84-851180EC14C1}" xr6:coauthVersionLast="46" xr6:coauthVersionMax="46" xr10:uidLastSave="{00000000-0000-0000-0000-000000000000}"/>
  <bookViews>
    <workbookView xWindow="-108" yWindow="-108" windowWidth="23256" windowHeight="12576" tabRatio="1000" xr2:uid="{1731A4D2-0ECA-431B-9E47-F7468AEF0E27}"/>
  </bookViews>
  <sheets>
    <sheet name="sample construction" sheetId="11" r:id="rId1"/>
    <sheet name="country list (135 countries)" sheetId="7" r:id="rId2"/>
    <sheet name="ols_benchmark_ijt" sheetId="8" r:id="rId3"/>
    <sheet name="ppmlhdfe_benchmark_ijt" sheetId="9" r:id="rId4"/>
    <sheet name="ppml_benchmark_no_fe" sheetId="10" r:id="rId5"/>
    <sheet name="ols_brientry_ijt" sheetId="3" r:id="rId6"/>
    <sheet name="ppmlhdfe_brientry_ijt" sheetId="2" r:id="rId7"/>
    <sheet name="ppml_brientry_no_ fe" sheetId="1" r:id="rId8"/>
    <sheet name="ols_bri_ijt" sheetId="4" r:id="rId9"/>
    <sheet name="ppmlhdfe_bri_ijt (NA)" sheetId="6" r:id="rId10"/>
    <sheet name="ppml_bri_no_fe" sheetId="5" r:id="rId11"/>
    <sheet name="ols_brientry_ijt_incremental" sheetId="12" r:id="rId12"/>
    <sheet name="ppmlhdfe_brientry_ijt_incre" sheetId="14" r:id="rId13"/>
    <sheet name="ppml_brientry_no_fe_incremental" sheetId="13" r:id="rId14"/>
    <sheet name="ols_bri_ijt_incremental" sheetId="15" r:id="rId15"/>
    <sheet name="ppmlhdfe_bri_ijt_incremental" sheetId="16" r:id="rId16"/>
    <sheet name="ppml_bri_no_fe_incremental" sheetId="17" r:id="rId17"/>
    <sheet name="ols_row_brientry_it" sheetId="19" r:id="rId18"/>
    <sheet name="ols_row_bri_it" sheetId="1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9" l="1"/>
  <c r="D16" i="19"/>
  <c r="C16" i="19"/>
  <c r="B16" i="19"/>
  <c r="A16" i="19"/>
  <c r="D15" i="19"/>
  <c r="C15" i="19"/>
  <c r="B15" i="19"/>
  <c r="A15" i="19"/>
  <c r="D14" i="19"/>
  <c r="C14" i="19"/>
  <c r="B14" i="19"/>
  <c r="A14" i="19"/>
  <c r="D12" i="19"/>
  <c r="C12" i="19"/>
  <c r="B12" i="19"/>
  <c r="A12" i="19"/>
  <c r="D11" i="19"/>
  <c r="C11" i="19"/>
  <c r="B11" i="19"/>
  <c r="A11" i="19"/>
  <c r="D9" i="19"/>
  <c r="C9" i="19"/>
  <c r="B9" i="19"/>
  <c r="A9" i="19"/>
  <c r="D8" i="19"/>
  <c r="C8" i="19"/>
  <c r="B8" i="19"/>
  <c r="A8" i="19"/>
  <c r="D6" i="19"/>
  <c r="C6" i="19"/>
  <c r="B6" i="19"/>
  <c r="A6" i="19"/>
  <c r="D5" i="19"/>
  <c r="C5" i="19"/>
  <c r="B5" i="19"/>
  <c r="A5" i="19"/>
  <c r="D3" i="19"/>
  <c r="C3" i="19"/>
  <c r="B3" i="19"/>
  <c r="A3" i="19"/>
  <c r="D2" i="19"/>
  <c r="C2" i="19"/>
  <c r="B2" i="19"/>
  <c r="A2" i="19"/>
  <c r="A18" i="18"/>
  <c r="D16" i="18"/>
  <c r="C16" i="18"/>
  <c r="B16" i="18"/>
  <c r="A16" i="18"/>
  <c r="D15" i="18"/>
  <c r="C15" i="18"/>
  <c r="B15" i="18"/>
  <c r="A15" i="18"/>
  <c r="D14" i="18"/>
  <c r="C14" i="18"/>
  <c r="B14" i="18"/>
  <c r="A14" i="18"/>
  <c r="D12" i="18"/>
  <c r="C12" i="18"/>
  <c r="B12" i="18"/>
  <c r="A12" i="18"/>
  <c r="D11" i="18"/>
  <c r="C11" i="18"/>
  <c r="B11" i="18"/>
  <c r="A11" i="18"/>
  <c r="D9" i="18"/>
  <c r="C9" i="18"/>
  <c r="B9" i="18"/>
  <c r="A9" i="18"/>
  <c r="D8" i="18"/>
  <c r="C8" i="18"/>
  <c r="B8" i="18"/>
  <c r="A8" i="18"/>
  <c r="D6" i="18"/>
  <c r="C6" i="18"/>
  <c r="B6" i="18"/>
  <c r="A6" i="18"/>
  <c r="D5" i="18"/>
  <c r="C5" i="18"/>
  <c r="B5" i="18"/>
  <c r="A5" i="18"/>
  <c r="D3" i="18"/>
  <c r="C3" i="18"/>
  <c r="B3" i="18"/>
  <c r="A3" i="18"/>
  <c r="D2" i="18"/>
  <c r="C2" i="18"/>
  <c r="B2" i="18"/>
  <c r="A2" i="18"/>
  <c r="A42" i="17"/>
  <c r="D40" i="17"/>
  <c r="C40" i="17"/>
  <c r="B40" i="17"/>
  <c r="A40" i="17"/>
  <c r="D39" i="17"/>
  <c r="C39" i="17"/>
  <c r="B39" i="17"/>
  <c r="A39" i="17"/>
  <c r="D38" i="17"/>
  <c r="C38" i="17"/>
  <c r="B38" i="17"/>
  <c r="A38" i="17"/>
  <c r="D36" i="17"/>
  <c r="C36" i="17"/>
  <c r="B36" i="17"/>
  <c r="A36" i="17"/>
  <c r="D35" i="17"/>
  <c r="C35" i="17"/>
  <c r="B35" i="17"/>
  <c r="A35" i="17"/>
  <c r="D33" i="17"/>
  <c r="C33" i="17"/>
  <c r="B33" i="17"/>
  <c r="A33" i="17"/>
  <c r="D32" i="17"/>
  <c r="C32" i="17"/>
  <c r="B32" i="17"/>
  <c r="A32" i="17"/>
  <c r="D30" i="17"/>
  <c r="C30" i="17"/>
  <c r="B30" i="17"/>
  <c r="A30" i="17"/>
  <c r="D29" i="17"/>
  <c r="C29" i="17"/>
  <c r="B29" i="17"/>
  <c r="A29" i="17"/>
  <c r="D27" i="17"/>
  <c r="C27" i="17"/>
  <c r="B27" i="17"/>
  <c r="A27" i="17"/>
  <c r="D26" i="17"/>
  <c r="C26" i="17"/>
  <c r="B26" i="17"/>
  <c r="A26" i="17"/>
  <c r="D24" i="17"/>
  <c r="C24" i="17"/>
  <c r="B24" i="17"/>
  <c r="A24" i="17"/>
  <c r="D23" i="17"/>
  <c r="C23" i="17"/>
  <c r="B23" i="17"/>
  <c r="A23" i="17"/>
  <c r="D21" i="17"/>
  <c r="C21" i="17"/>
  <c r="B21" i="17"/>
  <c r="A21" i="17"/>
  <c r="D20" i="17"/>
  <c r="C20" i="17"/>
  <c r="B20" i="17"/>
  <c r="A20" i="17"/>
  <c r="D18" i="17"/>
  <c r="C18" i="17"/>
  <c r="B18" i="17"/>
  <c r="A18" i="17"/>
  <c r="D17" i="17"/>
  <c r="C17" i="17"/>
  <c r="B17" i="17"/>
  <c r="A17" i="17"/>
  <c r="D15" i="17"/>
  <c r="C15" i="17"/>
  <c r="B15" i="17"/>
  <c r="A15" i="17"/>
  <c r="D14" i="17"/>
  <c r="C14" i="17"/>
  <c r="B14" i="17"/>
  <c r="A14" i="17"/>
  <c r="D12" i="17"/>
  <c r="C12" i="17"/>
  <c r="B12" i="17"/>
  <c r="A12" i="17"/>
  <c r="D11" i="17"/>
  <c r="C11" i="17"/>
  <c r="B11" i="17"/>
  <c r="A11" i="17"/>
  <c r="D9" i="17"/>
  <c r="C9" i="17"/>
  <c r="B9" i="17"/>
  <c r="A9" i="17"/>
  <c r="D8" i="17"/>
  <c r="C8" i="17"/>
  <c r="B8" i="17"/>
  <c r="A8" i="17"/>
  <c r="D6" i="17"/>
  <c r="C6" i="17"/>
  <c r="B6" i="17"/>
  <c r="A6" i="17"/>
  <c r="D5" i="17"/>
  <c r="C5" i="17"/>
  <c r="B5" i="17"/>
  <c r="A5" i="17"/>
  <c r="D3" i="17"/>
  <c r="C3" i="17"/>
  <c r="B3" i="17"/>
  <c r="A3" i="17"/>
  <c r="D2" i="17"/>
  <c r="C2" i="17"/>
  <c r="B2" i="17"/>
  <c r="A2" i="17"/>
  <c r="A42" i="16"/>
  <c r="D40" i="16"/>
  <c r="C40" i="16"/>
  <c r="B40" i="16"/>
  <c r="A40" i="16"/>
  <c r="D39" i="16"/>
  <c r="C39" i="16"/>
  <c r="B39" i="16"/>
  <c r="A39" i="16"/>
  <c r="D38" i="16"/>
  <c r="C38" i="16"/>
  <c r="B38" i="16"/>
  <c r="A38" i="16"/>
  <c r="D36" i="16"/>
  <c r="C36" i="16"/>
  <c r="B36" i="16"/>
  <c r="A36" i="16"/>
  <c r="D35" i="16"/>
  <c r="C35" i="16"/>
  <c r="B35" i="16"/>
  <c r="A35" i="16"/>
  <c r="D33" i="16"/>
  <c r="C33" i="16"/>
  <c r="B33" i="16"/>
  <c r="A33" i="16"/>
  <c r="D32" i="16"/>
  <c r="C32" i="16"/>
  <c r="B32" i="16"/>
  <c r="A32" i="16"/>
  <c r="D30" i="16"/>
  <c r="C30" i="16"/>
  <c r="B30" i="16"/>
  <c r="A30" i="16"/>
  <c r="D29" i="16"/>
  <c r="C29" i="16"/>
  <c r="B29" i="16"/>
  <c r="A29" i="16"/>
  <c r="D27" i="16"/>
  <c r="C27" i="16"/>
  <c r="B27" i="16"/>
  <c r="A27" i="16"/>
  <c r="D26" i="16"/>
  <c r="C26" i="16"/>
  <c r="B26" i="16"/>
  <c r="A26" i="16"/>
  <c r="D24" i="16"/>
  <c r="C24" i="16"/>
  <c r="B24" i="16"/>
  <c r="A24" i="16"/>
  <c r="D23" i="16"/>
  <c r="C23" i="16"/>
  <c r="B23" i="16"/>
  <c r="A23" i="16"/>
  <c r="D21" i="16"/>
  <c r="C21" i="16"/>
  <c r="B21" i="16"/>
  <c r="A21" i="16"/>
  <c r="D20" i="16"/>
  <c r="C20" i="16"/>
  <c r="B20" i="16"/>
  <c r="A20" i="16"/>
  <c r="D18" i="16"/>
  <c r="C18" i="16"/>
  <c r="B18" i="16"/>
  <c r="A18" i="16"/>
  <c r="D17" i="16"/>
  <c r="C17" i="16"/>
  <c r="B17" i="16"/>
  <c r="A17" i="16"/>
  <c r="D15" i="16"/>
  <c r="C15" i="16"/>
  <c r="B15" i="16"/>
  <c r="A15" i="16"/>
  <c r="D14" i="16"/>
  <c r="C14" i="16"/>
  <c r="B14" i="16"/>
  <c r="A14" i="16"/>
  <c r="D12" i="16"/>
  <c r="C12" i="16"/>
  <c r="B12" i="16"/>
  <c r="A12" i="16"/>
  <c r="D11" i="16"/>
  <c r="C11" i="16"/>
  <c r="B11" i="16"/>
  <c r="A11" i="16"/>
  <c r="D9" i="16"/>
  <c r="C9" i="16"/>
  <c r="B9" i="16"/>
  <c r="A9" i="16"/>
  <c r="D8" i="16"/>
  <c r="C8" i="16"/>
  <c r="B8" i="16"/>
  <c r="A8" i="16"/>
  <c r="D6" i="16"/>
  <c r="C6" i="16"/>
  <c r="B6" i="16"/>
  <c r="A6" i="16"/>
  <c r="D5" i="16"/>
  <c r="C5" i="16"/>
  <c r="B5" i="16"/>
  <c r="A5" i="16"/>
  <c r="D3" i="16"/>
  <c r="C3" i="16"/>
  <c r="B3" i="16"/>
  <c r="A3" i="16"/>
  <c r="D2" i="16"/>
  <c r="C2" i="16"/>
  <c r="B2" i="16"/>
  <c r="A2" i="16"/>
  <c r="A42" i="15"/>
  <c r="D40" i="15"/>
  <c r="C40" i="15"/>
  <c r="B40" i="15"/>
  <c r="A40" i="15"/>
  <c r="D39" i="15"/>
  <c r="C39" i="15"/>
  <c r="B39" i="15"/>
  <c r="A39" i="15"/>
  <c r="D38" i="15"/>
  <c r="C38" i="15"/>
  <c r="B38" i="15"/>
  <c r="A38" i="15"/>
  <c r="D36" i="15"/>
  <c r="C36" i="15"/>
  <c r="B36" i="15"/>
  <c r="A36" i="15"/>
  <c r="D35" i="15"/>
  <c r="C35" i="15"/>
  <c r="B35" i="15"/>
  <c r="A35" i="15"/>
  <c r="D33" i="15"/>
  <c r="C33" i="15"/>
  <c r="B33" i="15"/>
  <c r="A33" i="15"/>
  <c r="D32" i="15"/>
  <c r="C32" i="15"/>
  <c r="B32" i="15"/>
  <c r="A32" i="15"/>
  <c r="D30" i="15"/>
  <c r="C30" i="15"/>
  <c r="B30" i="15"/>
  <c r="A30" i="15"/>
  <c r="D29" i="15"/>
  <c r="C29" i="15"/>
  <c r="B29" i="15"/>
  <c r="A29" i="15"/>
  <c r="D27" i="15"/>
  <c r="C27" i="15"/>
  <c r="B27" i="15"/>
  <c r="A27" i="15"/>
  <c r="D26" i="15"/>
  <c r="C26" i="15"/>
  <c r="B26" i="15"/>
  <c r="A26" i="15"/>
  <c r="D24" i="15"/>
  <c r="C24" i="15"/>
  <c r="B24" i="15"/>
  <c r="A24" i="15"/>
  <c r="D23" i="15"/>
  <c r="C23" i="15"/>
  <c r="B23" i="15"/>
  <c r="A23" i="15"/>
  <c r="D21" i="15"/>
  <c r="C21" i="15"/>
  <c r="B21" i="15"/>
  <c r="A21" i="15"/>
  <c r="D20" i="15"/>
  <c r="C20" i="15"/>
  <c r="B20" i="15"/>
  <c r="A20" i="15"/>
  <c r="D18" i="15"/>
  <c r="C18" i="15"/>
  <c r="B18" i="15"/>
  <c r="A18" i="15"/>
  <c r="D17" i="15"/>
  <c r="C17" i="15"/>
  <c r="B17" i="15"/>
  <c r="A17" i="15"/>
  <c r="D15" i="15"/>
  <c r="C15" i="15"/>
  <c r="B15" i="15"/>
  <c r="A15" i="15"/>
  <c r="D14" i="15"/>
  <c r="C14" i="15"/>
  <c r="B14" i="15"/>
  <c r="A14" i="15"/>
  <c r="D12" i="15"/>
  <c r="C12" i="15"/>
  <c r="B12" i="15"/>
  <c r="A12" i="15"/>
  <c r="D11" i="15"/>
  <c r="C11" i="15"/>
  <c r="B11" i="15"/>
  <c r="A11" i="15"/>
  <c r="D9" i="15"/>
  <c r="C9" i="15"/>
  <c r="B9" i="15"/>
  <c r="A9" i="15"/>
  <c r="D8" i="15"/>
  <c r="C8" i="15"/>
  <c r="B8" i="15"/>
  <c r="A8" i="15"/>
  <c r="D6" i="15"/>
  <c r="C6" i="15"/>
  <c r="B6" i="15"/>
  <c r="A6" i="15"/>
  <c r="D5" i="15"/>
  <c r="C5" i="15"/>
  <c r="B5" i="15"/>
  <c r="A5" i="15"/>
  <c r="D3" i="15"/>
  <c r="C3" i="15"/>
  <c r="B3" i="15"/>
  <c r="A3" i="15"/>
  <c r="D2" i="15"/>
  <c r="C2" i="15"/>
  <c r="B2" i="15"/>
  <c r="A2" i="15"/>
  <c r="A42" i="14"/>
  <c r="D40" i="14"/>
  <c r="C40" i="14"/>
  <c r="B40" i="14"/>
  <c r="A40" i="14"/>
  <c r="D39" i="14"/>
  <c r="C39" i="14"/>
  <c r="B39" i="14"/>
  <c r="A39" i="14"/>
  <c r="D38" i="14"/>
  <c r="C38" i="14"/>
  <c r="B38" i="14"/>
  <c r="A38" i="14"/>
  <c r="D36" i="14"/>
  <c r="C36" i="14"/>
  <c r="B36" i="14"/>
  <c r="A36" i="14"/>
  <c r="D35" i="14"/>
  <c r="C35" i="14"/>
  <c r="B35" i="14"/>
  <c r="A35" i="14"/>
  <c r="D33" i="14"/>
  <c r="C33" i="14"/>
  <c r="B33" i="14"/>
  <c r="A33" i="14"/>
  <c r="D32" i="14"/>
  <c r="C32" i="14"/>
  <c r="B32" i="14"/>
  <c r="A32" i="14"/>
  <c r="D30" i="14"/>
  <c r="C30" i="14"/>
  <c r="B30" i="14"/>
  <c r="A30" i="14"/>
  <c r="D29" i="14"/>
  <c r="C29" i="14"/>
  <c r="B29" i="14"/>
  <c r="A29" i="14"/>
  <c r="D27" i="14"/>
  <c r="C27" i="14"/>
  <c r="B27" i="14"/>
  <c r="A27" i="14"/>
  <c r="D26" i="14"/>
  <c r="C26" i="14"/>
  <c r="B26" i="14"/>
  <c r="A26" i="14"/>
  <c r="D24" i="14"/>
  <c r="C24" i="14"/>
  <c r="B24" i="14"/>
  <c r="A24" i="14"/>
  <c r="D23" i="14"/>
  <c r="C23" i="14"/>
  <c r="B23" i="14"/>
  <c r="A23" i="14"/>
  <c r="D21" i="14"/>
  <c r="C21" i="14"/>
  <c r="B21" i="14"/>
  <c r="A21" i="14"/>
  <c r="D20" i="14"/>
  <c r="C20" i="14"/>
  <c r="B20" i="14"/>
  <c r="A20" i="14"/>
  <c r="D18" i="14"/>
  <c r="C18" i="14"/>
  <c r="B18" i="14"/>
  <c r="A18" i="14"/>
  <c r="D17" i="14"/>
  <c r="C17" i="14"/>
  <c r="B17" i="14"/>
  <c r="A17" i="14"/>
  <c r="D15" i="14"/>
  <c r="C15" i="14"/>
  <c r="B15" i="14"/>
  <c r="A15" i="14"/>
  <c r="D14" i="14"/>
  <c r="C14" i="14"/>
  <c r="B14" i="14"/>
  <c r="A14" i="14"/>
  <c r="D12" i="14"/>
  <c r="C12" i="14"/>
  <c r="B12" i="14"/>
  <c r="A12" i="14"/>
  <c r="D11" i="14"/>
  <c r="C11" i="14"/>
  <c r="B11" i="14"/>
  <c r="A11" i="14"/>
  <c r="D9" i="14"/>
  <c r="C9" i="14"/>
  <c r="B9" i="14"/>
  <c r="A9" i="14"/>
  <c r="D8" i="14"/>
  <c r="C8" i="14"/>
  <c r="B8" i="14"/>
  <c r="A8" i="14"/>
  <c r="D6" i="14"/>
  <c r="C6" i="14"/>
  <c r="B6" i="14"/>
  <c r="A6" i="14"/>
  <c r="D5" i="14"/>
  <c r="C5" i="14"/>
  <c r="B5" i="14"/>
  <c r="A5" i="14"/>
  <c r="D3" i="14"/>
  <c r="C3" i="14"/>
  <c r="B3" i="14"/>
  <c r="A3" i="14"/>
  <c r="D2" i="14"/>
  <c r="C2" i="14"/>
  <c r="B2" i="14"/>
  <c r="A2" i="14"/>
  <c r="A42" i="13"/>
  <c r="D40" i="13"/>
  <c r="C40" i="13"/>
  <c r="B40" i="13"/>
  <c r="A40" i="13"/>
  <c r="D39" i="13"/>
  <c r="C39" i="13"/>
  <c r="B39" i="13"/>
  <c r="A39" i="13"/>
  <c r="D38" i="13"/>
  <c r="C38" i="13"/>
  <c r="B38" i="13"/>
  <c r="A38" i="13"/>
  <c r="D36" i="13"/>
  <c r="C36" i="13"/>
  <c r="B36" i="13"/>
  <c r="A36" i="13"/>
  <c r="D35" i="13"/>
  <c r="C35" i="13"/>
  <c r="B35" i="13"/>
  <c r="A35" i="13"/>
  <c r="D33" i="13"/>
  <c r="C33" i="13"/>
  <c r="B33" i="13"/>
  <c r="A33" i="13"/>
  <c r="D32" i="13"/>
  <c r="C32" i="13"/>
  <c r="B32" i="13"/>
  <c r="A32" i="13"/>
  <c r="D30" i="13"/>
  <c r="C30" i="13"/>
  <c r="B30" i="13"/>
  <c r="A30" i="13"/>
  <c r="D29" i="13"/>
  <c r="C29" i="13"/>
  <c r="B29" i="13"/>
  <c r="A29" i="13"/>
  <c r="D27" i="13"/>
  <c r="C27" i="13"/>
  <c r="B27" i="13"/>
  <c r="A27" i="13"/>
  <c r="D26" i="13"/>
  <c r="C26" i="13"/>
  <c r="B26" i="13"/>
  <c r="A26" i="13"/>
  <c r="D24" i="13"/>
  <c r="C24" i="13"/>
  <c r="B24" i="13"/>
  <c r="A24" i="13"/>
  <c r="D23" i="13"/>
  <c r="C23" i="13"/>
  <c r="B23" i="13"/>
  <c r="A23" i="13"/>
  <c r="D21" i="13"/>
  <c r="C21" i="13"/>
  <c r="B21" i="13"/>
  <c r="A21" i="13"/>
  <c r="D20" i="13"/>
  <c r="C20" i="13"/>
  <c r="B20" i="13"/>
  <c r="A20" i="13"/>
  <c r="D18" i="13"/>
  <c r="C18" i="13"/>
  <c r="B18" i="13"/>
  <c r="A18" i="13"/>
  <c r="D17" i="13"/>
  <c r="C17" i="13"/>
  <c r="B17" i="13"/>
  <c r="A17" i="13"/>
  <c r="D15" i="13"/>
  <c r="C15" i="13"/>
  <c r="B15" i="13"/>
  <c r="A15" i="13"/>
  <c r="D14" i="13"/>
  <c r="C14" i="13"/>
  <c r="B14" i="13"/>
  <c r="A14" i="13"/>
  <c r="D12" i="13"/>
  <c r="C12" i="13"/>
  <c r="B12" i="13"/>
  <c r="A12" i="13"/>
  <c r="D11" i="13"/>
  <c r="C11" i="13"/>
  <c r="B11" i="13"/>
  <c r="A11" i="13"/>
  <c r="D9" i="13"/>
  <c r="C9" i="13"/>
  <c r="B9" i="13"/>
  <c r="A9" i="13"/>
  <c r="D8" i="13"/>
  <c r="C8" i="13"/>
  <c r="B8" i="13"/>
  <c r="A8" i="13"/>
  <c r="D6" i="13"/>
  <c r="C6" i="13"/>
  <c r="B6" i="13"/>
  <c r="A6" i="13"/>
  <c r="D5" i="13"/>
  <c r="C5" i="13"/>
  <c r="B5" i="13"/>
  <c r="A5" i="13"/>
  <c r="D3" i="13"/>
  <c r="C3" i="13"/>
  <c r="B3" i="13"/>
  <c r="A3" i="13"/>
  <c r="D2" i="13"/>
  <c r="C2" i="13"/>
  <c r="B2" i="13"/>
  <c r="A2" i="13"/>
  <c r="A42" i="12"/>
  <c r="D40" i="12"/>
  <c r="C40" i="12"/>
  <c r="B40" i="12"/>
  <c r="A40" i="12"/>
  <c r="D39" i="12"/>
  <c r="C39" i="12"/>
  <c r="B39" i="12"/>
  <c r="A39" i="12"/>
  <c r="D38" i="12"/>
  <c r="C38" i="12"/>
  <c r="B38" i="12"/>
  <c r="A38" i="12"/>
  <c r="D36" i="12"/>
  <c r="C36" i="12"/>
  <c r="B36" i="12"/>
  <c r="A36" i="12"/>
  <c r="D35" i="12"/>
  <c r="C35" i="12"/>
  <c r="B35" i="12"/>
  <c r="A35" i="12"/>
  <c r="D33" i="12"/>
  <c r="C33" i="12"/>
  <c r="B33" i="12"/>
  <c r="A33" i="12"/>
  <c r="D32" i="12"/>
  <c r="C32" i="12"/>
  <c r="B32" i="12"/>
  <c r="A32" i="12"/>
  <c r="D30" i="12"/>
  <c r="C30" i="12"/>
  <c r="B30" i="12"/>
  <c r="A30" i="12"/>
  <c r="D29" i="12"/>
  <c r="C29" i="12"/>
  <c r="B29" i="12"/>
  <c r="A29" i="12"/>
  <c r="D27" i="12"/>
  <c r="C27" i="12"/>
  <c r="B27" i="12"/>
  <c r="A27" i="12"/>
  <c r="D26" i="12"/>
  <c r="C26" i="12"/>
  <c r="B26" i="12"/>
  <c r="A26" i="12"/>
  <c r="D24" i="12"/>
  <c r="C24" i="12"/>
  <c r="B24" i="12"/>
  <c r="A24" i="12"/>
  <c r="D23" i="12"/>
  <c r="C23" i="12"/>
  <c r="B23" i="12"/>
  <c r="A23" i="12"/>
  <c r="D21" i="12"/>
  <c r="C21" i="12"/>
  <c r="B21" i="12"/>
  <c r="A21" i="12"/>
  <c r="D20" i="12"/>
  <c r="C20" i="12"/>
  <c r="B20" i="12"/>
  <c r="A20" i="12"/>
  <c r="D18" i="12"/>
  <c r="C18" i="12"/>
  <c r="B18" i="12"/>
  <c r="A18" i="12"/>
  <c r="D17" i="12"/>
  <c r="C17" i="12"/>
  <c r="B17" i="12"/>
  <c r="A17" i="12"/>
  <c r="D15" i="12"/>
  <c r="C15" i="12"/>
  <c r="B15" i="12"/>
  <c r="A15" i="12"/>
  <c r="D14" i="12"/>
  <c r="C14" i="12"/>
  <c r="B14" i="12"/>
  <c r="A14" i="12"/>
  <c r="D12" i="12"/>
  <c r="C12" i="12"/>
  <c r="B12" i="12"/>
  <c r="A12" i="12"/>
  <c r="D11" i="12"/>
  <c r="C11" i="12"/>
  <c r="B11" i="12"/>
  <c r="A11" i="12"/>
  <c r="D9" i="12"/>
  <c r="C9" i="12"/>
  <c r="B9" i="12"/>
  <c r="A9" i="12"/>
  <c r="D8" i="12"/>
  <c r="C8" i="12"/>
  <c r="B8" i="12"/>
  <c r="A8" i="12"/>
  <c r="D6" i="12"/>
  <c r="C6" i="12"/>
  <c r="B6" i="12"/>
  <c r="A6" i="12"/>
  <c r="D5" i="12"/>
  <c r="C5" i="12"/>
  <c r="B5" i="12"/>
  <c r="A5" i="12"/>
  <c r="D3" i="12"/>
  <c r="C3" i="12"/>
  <c r="B3" i="12"/>
  <c r="A3" i="12"/>
  <c r="D2" i="12"/>
  <c r="C2" i="12"/>
  <c r="B2" i="12"/>
  <c r="A2" i="12"/>
  <c r="H4" i="7"/>
  <c r="A33" i="10"/>
  <c r="D31" i="10"/>
  <c r="C31" i="10"/>
  <c r="B31" i="10"/>
  <c r="A31" i="10"/>
  <c r="D30" i="10"/>
  <c r="C30" i="10"/>
  <c r="B30" i="10"/>
  <c r="A30" i="10"/>
  <c r="D29" i="10"/>
  <c r="C29" i="10"/>
  <c r="B29" i="10"/>
  <c r="A29" i="10"/>
  <c r="D27" i="10"/>
  <c r="C27" i="10"/>
  <c r="B27" i="10"/>
  <c r="A27" i="10"/>
  <c r="D26" i="10"/>
  <c r="C26" i="10"/>
  <c r="B26" i="10"/>
  <c r="A26" i="10"/>
  <c r="D24" i="10"/>
  <c r="C24" i="10"/>
  <c r="B24" i="10"/>
  <c r="A24" i="10"/>
  <c r="D23" i="10"/>
  <c r="C23" i="10"/>
  <c r="B23" i="10"/>
  <c r="A23" i="10"/>
  <c r="D21" i="10"/>
  <c r="C21" i="10"/>
  <c r="B21" i="10"/>
  <c r="A21" i="10"/>
  <c r="D20" i="10"/>
  <c r="C20" i="10"/>
  <c r="B20" i="10"/>
  <c r="A20" i="10"/>
  <c r="D18" i="10"/>
  <c r="C18" i="10"/>
  <c r="B18" i="10"/>
  <c r="A18" i="10"/>
  <c r="D17" i="10"/>
  <c r="C17" i="10"/>
  <c r="B17" i="10"/>
  <c r="A17" i="10"/>
  <c r="D15" i="10"/>
  <c r="C15" i="10"/>
  <c r="B15" i="10"/>
  <c r="A15" i="10"/>
  <c r="D14" i="10"/>
  <c r="C14" i="10"/>
  <c r="B14" i="10"/>
  <c r="A14" i="10"/>
  <c r="D12" i="10"/>
  <c r="C12" i="10"/>
  <c r="B12" i="10"/>
  <c r="A12" i="10"/>
  <c r="D11" i="10"/>
  <c r="C11" i="10"/>
  <c r="B11" i="10"/>
  <c r="A11" i="10"/>
  <c r="D9" i="10"/>
  <c r="C9" i="10"/>
  <c r="B9" i="10"/>
  <c r="A9" i="10"/>
  <c r="D8" i="10"/>
  <c r="C8" i="10"/>
  <c r="B8" i="10"/>
  <c r="A8" i="10"/>
  <c r="D6" i="10"/>
  <c r="C6" i="10"/>
  <c r="B6" i="10"/>
  <c r="A6" i="10"/>
  <c r="D5" i="10"/>
  <c r="C5" i="10"/>
  <c r="B5" i="10"/>
  <c r="A5" i="10"/>
  <c r="D3" i="10"/>
  <c r="C3" i="10"/>
  <c r="B3" i="10"/>
  <c r="A3" i="10"/>
  <c r="D2" i="10"/>
  <c r="C2" i="10"/>
  <c r="B2" i="10"/>
  <c r="A2" i="10"/>
  <c r="A33" i="9"/>
  <c r="D31" i="9"/>
  <c r="C31" i="9"/>
  <c r="B31" i="9"/>
  <c r="A31" i="9"/>
  <c r="D30" i="9"/>
  <c r="C30" i="9"/>
  <c r="B30" i="9"/>
  <c r="A30" i="9"/>
  <c r="D29" i="9"/>
  <c r="C29" i="9"/>
  <c r="B29" i="9"/>
  <c r="A29" i="9"/>
  <c r="D27" i="9"/>
  <c r="C27" i="9"/>
  <c r="B27" i="9"/>
  <c r="A27" i="9"/>
  <c r="D26" i="9"/>
  <c r="C26" i="9"/>
  <c r="B26" i="9"/>
  <c r="A26" i="9"/>
  <c r="D24" i="9"/>
  <c r="C24" i="9"/>
  <c r="B24" i="9"/>
  <c r="A24" i="9"/>
  <c r="D23" i="9"/>
  <c r="C23" i="9"/>
  <c r="B23" i="9"/>
  <c r="A23" i="9"/>
  <c r="D21" i="9"/>
  <c r="C21" i="9"/>
  <c r="B21" i="9"/>
  <c r="A21" i="9"/>
  <c r="D20" i="9"/>
  <c r="C20" i="9"/>
  <c r="B20" i="9"/>
  <c r="A20" i="9"/>
  <c r="D18" i="9"/>
  <c r="C18" i="9"/>
  <c r="B18" i="9"/>
  <c r="A18" i="9"/>
  <c r="D17" i="9"/>
  <c r="C17" i="9"/>
  <c r="B17" i="9"/>
  <c r="A17" i="9"/>
  <c r="D15" i="9"/>
  <c r="C15" i="9"/>
  <c r="B15" i="9"/>
  <c r="A15" i="9"/>
  <c r="D14" i="9"/>
  <c r="C14" i="9"/>
  <c r="B14" i="9"/>
  <c r="A14" i="9"/>
  <c r="D12" i="9"/>
  <c r="C12" i="9"/>
  <c r="B12" i="9"/>
  <c r="A12" i="9"/>
  <c r="D11" i="9"/>
  <c r="C11" i="9"/>
  <c r="B11" i="9"/>
  <c r="A11" i="9"/>
  <c r="D9" i="9"/>
  <c r="C9" i="9"/>
  <c r="B9" i="9"/>
  <c r="A9" i="9"/>
  <c r="D8" i="9"/>
  <c r="C8" i="9"/>
  <c r="B8" i="9"/>
  <c r="A8" i="9"/>
  <c r="D6" i="9"/>
  <c r="C6" i="9"/>
  <c r="B6" i="9"/>
  <c r="A6" i="9"/>
  <c r="D5" i="9"/>
  <c r="C5" i="9"/>
  <c r="B5" i="9"/>
  <c r="A5" i="9"/>
  <c r="D3" i="9"/>
  <c r="C3" i="9"/>
  <c r="B3" i="9"/>
  <c r="A3" i="9"/>
  <c r="D2" i="9"/>
  <c r="C2" i="9"/>
  <c r="B2" i="9"/>
  <c r="A2" i="9"/>
  <c r="G4" i="7"/>
  <c r="A33" i="8"/>
  <c r="D31" i="8"/>
  <c r="C31" i="8"/>
  <c r="B31" i="8"/>
  <c r="A31" i="8"/>
  <c r="D30" i="8"/>
  <c r="C30" i="8"/>
  <c r="B30" i="8"/>
  <c r="A30" i="8"/>
  <c r="D29" i="8"/>
  <c r="C29" i="8"/>
  <c r="B29" i="8"/>
  <c r="A29" i="8"/>
  <c r="D27" i="8"/>
  <c r="C27" i="8"/>
  <c r="B27" i="8"/>
  <c r="A27" i="8"/>
  <c r="D26" i="8"/>
  <c r="C26" i="8"/>
  <c r="B26" i="8"/>
  <c r="A26" i="8"/>
  <c r="D24" i="8"/>
  <c r="C24" i="8"/>
  <c r="B24" i="8"/>
  <c r="A24" i="8"/>
  <c r="D23" i="8"/>
  <c r="C23" i="8"/>
  <c r="B23" i="8"/>
  <c r="A23" i="8"/>
  <c r="D21" i="8"/>
  <c r="C21" i="8"/>
  <c r="B21" i="8"/>
  <c r="A21" i="8"/>
  <c r="D20" i="8"/>
  <c r="C20" i="8"/>
  <c r="B20" i="8"/>
  <c r="A20" i="8"/>
  <c r="D18" i="8"/>
  <c r="C18" i="8"/>
  <c r="B18" i="8"/>
  <c r="A18" i="8"/>
  <c r="D17" i="8"/>
  <c r="C17" i="8"/>
  <c r="B17" i="8"/>
  <c r="A17" i="8"/>
  <c r="D15" i="8"/>
  <c r="C15" i="8"/>
  <c r="B15" i="8"/>
  <c r="A15" i="8"/>
  <c r="D14" i="8"/>
  <c r="C14" i="8"/>
  <c r="B14" i="8"/>
  <c r="A14" i="8"/>
  <c r="D12" i="8"/>
  <c r="C12" i="8"/>
  <c r="B12" i="8"/>
  <c r="A12" i="8"/>
  <c r="D11" i="8"/>
  <c r="C11" i="8"/>
  <c r="B11" i="8"/>
  <c r="A11" i="8"/>
  <c r="D9" i="8"/>
  <c r="C9" i="8"/>
  <c r="B9" i="8"/>
  <c r="A9" i="8"/>
  <c r="D8" i="8"/>
  <c r="C8" i="8"/>
  <c r="B8" i="8"/>
  <c r="A8" i="8"/>
  <c r="D6" i="8"/>
  <c r="C6" i="8"/>
  <c r="B6" i="8"/>
  <c r="A6" i="8"/>
  <c r="D5" i="8"/>
  <c r="C5" i="8"/>
  <c r="B5" i="8"/>
  <c r="A5" i="8"/>
  <c r="D3" i="8"/>
  <c r="C3" i="8"/>
  <c r="B3" i="8"/>
  <c r="A3" i="8"/>
  <c r="D2" i="8"/>
  <c r="C2" i="8"/>
  <c r="B2" i="8"/>
  <c r="A2" i="8"/>
  <c r="A42" i="5"/>
  <c r="D40" i="5"/>
  <c r="C40" i="5"/>
  <c r="B40" i="5"/>
  <c r="A40" i="5"/>
  <c r="D39" i="5"/>
  <c r="C39" i="5"/>
  <c r="B39" i="5"/>
  <c r="A39" i="5"/>
  <c r="D38" i="5"/>
  <c r="C38" i="5"/>
  <c r="B38" i="5"/>
  <c r="A38" i="5"/>
  <c r="D36" i="5"/>
  <c r="C36" i="5"/>
  <c r="B36" i="5"/>
  <c r="A36" i="5"/>
  <c r="D35" i="5"/>
  <c r="C35" i="5"/>
  <c r="B35" i="5"/>
  <c r="A35" i="5"/>
  <c r="D33" i="5"/>
  <c r="C33" i="5"/>
  <c r="B33" i="5"/>
  <c r="A33" i="5"/>
  <c r="D32" i="5"/>
  <c r="C32" i="5"/>
  <c r="B32" i="5"/>
  <c r="A32" i="5"/>
  <c r="D30" i="5"/>
  <c r="C30" i="5"/>
  <c r="B30" i="5"/>
  <c r="A30" i="5"/>
  <c r="D29" i="5"/>
  <c r="C29" i="5"/>
  <c r="B29" i="5"/>
  <c r="A29" i="5"/>
  <c r="D27" i="5"/>
  <c r="C27" i="5"/>
  <c r="B27" i="5"/>
  <c r="A27" i="5"/>
  <c r="D26" i="5"/>
  <c r="C26" i="5"/>
  <c r="B26" i="5"/>
  <c r="A26" i="5"/>
  <c r="D24" i="5"/>
  <c r="C24" i="5"/>
  <c r="B24" i="5"/>
  <c r="A24" i="5"/>
  <c r="D23" i="5"/>
  <c r="C23" i="5"/>
  <c r="B23" i="5"/>
  <c r="A23" i="5"/>
  <c r="D21" i="5"/>
  <c r="C21" i="5"/>
  <c r="B21" i="5"/>
  <c r="A21" i="5"/>
  <c r="D20" i="5"/>
  <c r="C20" i="5"/>
  <c r="B20" i="5"/>
  <c r="A20" i="5"/>
  <c r="D18" i="5"/>
  <c r="C18" i="5"/>
  <c r="B18" i="5"/>
  <c r="A18" i="5"/>
  <c r="D17" i="5"/>
  <c r="C17" i="5"/>
  <c r="B17" i="5"/>
  <c r="A17" i="5"/>
  <c r="D15" i="5"/>
  <c r="C15" i="5"/>
  <c r="B15" i="5"/>
  <c r="A15" i="5"/>
  <c r="D14" i="5"/>
  <c r="C14" i="5"/>
  <c r="B14" i="5"/>
  <c r="A14" i="5"/>
  <c r="D12" i="5"/>
  <c r="C12" i="5"/>
  <c r="B12" i="5"/>
  <c r="A12" i="5"/>
  <c r="D11" i="5"/>
  <c r="C11" i="5"/>
  <c r="B11" i="5"/>
  <c r="A11" i="5"/>
  <c r="D9" i="5"/>
  <c r="C9" i="5"/>
  <c r="B9" i="5"/>
  <c r="A9" i="5"/>
  <c r="D8" i="5"/>
  <c r="C8" i="5"/>
  <c r="B8" i="5"/>
  <c r="A8" i="5"/>
  <c r="D6" i="5"/>
  <c r="C6" i="5"/>
  <c r="B6" i="5"/>
  <c r="A6" i="5"/>
  <c r="D5" i="5"/>
  <c r="C5" i="5"/>
  <c r="B5" i="5"/>
  <c r="A5" i="5"/>
  <c r="D3" i="5"/>
  <c r="C3" i="5"/>
  <c r="B3" i="5"/>
  <c r="A3" i="5"/>
  <c r="D2" i="5"/>
  <c r="C2" i="5"/>
  <c r="B2" i="5"/>
  <c r="A2" i="5"/>
  <c r="A42" i="4"/>
  <c r="D40" i="4"/>
  <c r="C40" i="4"/>
  <c r="B40" i="4"/>
  <c r="A40" i="4"/>
  <c r="D39" i="4"/>
  <c r="C39" i="4"/>
  <c r="B39" i="4"/>
  <c r="A39" i="4"/>
  <c r="D38" i="4"/>
  <c r="C38" i="4"/>
  <c r="B38" i="4"/>
  <c r="A38" i="4"/>
  <c r="D36" i="4"/>
  <c r="C36" i="4"/>
  <c r="B36" i="4"/>
  <c r="A36" i="4"/>
  <c r="D35" i="4"/>
  <c r="C35" i="4"/>
  <c r="B35" i="4"/>
  <c r="A35" i="4"/>
  <c r="D33" i="4"/>
  <c r="C33" i="4"/>
  <c r="B33" i="4"/>
  <c r="A33" i="4"/>
  <c r="D32" i="4"/>
  <c r="C32" i="4"/>
  <c r="B32" i="4"/>
  <c r="A32" i="4"/>
  <c r="D30" i="4"/>
  <c r="C30" i="4"/>
  <c r="B30" i="4"/>
  <c r="A30" i="4"/>
  <c r="D29" i="4"/>
  <c r="C29" i="4"/>
  <c r="B29" i="4"/>
  <c r="A29" i="4"/>
  <c r="D27" i="4"/>
  <c r="C27" i="4"/>
  <c r="B27" i="4"/>
  <c r="A27" i="4"/>
  <c r="D26" i="4"/>
  <c r="C26" i="4"/>
  <c r="B26" i="4"/>
  <c r="A26" i="4"/>
  <c r="D24" i="4"/>
  <c r="C24" i="4"/>
  <c r="B24" i="4"/>
  <c r="A24" i="4"/>
  <c r="D23" i="4"/>
  <c r="C23" i="4"/>
  <c r="B23" i="4"/>
  <c r="A23" i="4"/>
  <c r="D21" i="4"/>
  <c r="C21" i="4"/>
  <c r="B21" i="4"/>
  <c r="A21" i="4"/>
  <c r="D20" i="4"/>
  <c r="C20" i="4"/>
  <c r="B20" i="4"/>
  <c r="A20" i="4"/>
  <c r="D18" i="4"/>
  <c r="C18" i="4"/>
  <c r="B18" i="4"/>
  <c r="A18" i="4"/>
  <c r="D17" i="4"/>
  <c r="C17" i="4"/>
  <c r="B17" i="4"/>
  <c r="A17" i="4"/>
  <c r="D15" i="4"/>
  <c r="C15" i="4"/>
  <c r="B15" i="4"/>
  <c r="A15" i="4"/>
  <c r="D14" i="4"/>
  <c r="C14" i="4"/>
  <c r="B14" i="4"/>
  <c r="A14" i="4"/>
  <c r="D12" i="4"/>
  <c r="C12" i="4"/>
  <c r="B12" i="4"/>
  <c r="A12" i="4"/>
  <c r="D11" i="4"/>
  <c r="C11" i="4"/>
  <c r="B11" i="4"/>
  <c r="A11" i="4"/>
  <c r="D9" i="4"/>
  <c r="C9" i="4"/>
  <c r="B9" i="4"/>
  <c r="A9" i="4"/>
  <c r="D8" i="4"/>
  <c r="C8" i="4"/>
  <c r="B8" i="4"/>
  <c r="A8" i="4"/>
  <c r="D6" i="4"/>
  <c r="C6" i="4"/>
  <c r="B6" i="4"/>
  <c r="A6" i="4"/>
  <c r="D5" i="4"/>
  <c r="C5" i="4"/>
  <c r="B5" i="4"/>
  <c r="A5" i="4"/>
  <c r="D3" i="4"/>
  <c r="C3" i="4"/>
  <c r="B3" i="4"/>
  <c r="A3" i="4"/>
  <c r="D2" i="4"/>
  <c r="C2" i="4"/>
  <c r="B2" i="4"/>
  <c r="A2" i="4"/>
  <c r="A42" i="3"/>
  <c r="D40" i="3"/>
  <c r="C40" i="3"/>
  <c r="B40" i="3"/>
  <c r="A40" i="3"/>
  <c r="D39" i="3"/>
  <c r="C39" i="3"/>
  <c r="B39" i="3"/>
  <c r="A39" i="3"/>
  <c r="D38" i="3"/>
  <c r="C38" i="3"/>
  <c r="B38" i="3"/>
  <c r="A38" i="3"/>
  <c r="D36" i="3"/>
  <c r="C36" i="3"/>
  <c r="B36" i="3"/>
  <c r="A36" i="3"/>
  <c r="D35" i="3"/>
  <c r="C35" i="3"/>
  <c r="B35" i="3"/>
  <c r="A35" i="3"/>
  <c r="D33" i="3"/>
  <c r="C33" i="3"/>
  <c r="B33" i="3"/>
  <c r="A33" i="3"/>
  <c r="D32" i="3"/>
  <c r="C32" i="3"/>
  <c r="B32" i="3"/>
  <c r="A32" i="3"/>
  <c r="D30" i="3"/>
  <c r="C30" i="3"/>
  <c r="B30" i="3"/>
  <c r="A30" i="3"/>
  <c r="D29" i="3"/>
  <c r="C29" i="3"/>
  <c r="B29" i="3"/>
  <c r="A29" i="3"/>
  <c r="D27" i="3"/>
  <c r="C27" i="3"/>
  <c r="B27" i="3"/>
  <c r="A27" i="3"/>
  <c r="D26" i="3"/>
  <c r="C26" i="3"/>
  <c r="B26" i="3"/>
  <c r="A26" i="3"/>
  <c r="D24" i="3"/>
  <c r="C24" i="3"/>
  <c r="B24" i="3"/>
  <c r="A24" i="3"/>
  <c r="D23" i="3"/>
  <c r="C23" i="3"/>
  <c r="B23" i="3"/>
  <c r="A23" i="3"/>
  <c r="D21" i="3"/>
  <c r="C21" i="3"/>
  <c r="B21" i="3"/>
  <c r="A21" i="3"/>
  <c r="D20" i="3"/>
  <c r="C20" i="3"/>
  <c r="B20" i="3"/>
  <c r="A20" i="3"/>
  <c r="D18" i="3"/>
  <c r="C18" i="3"/>
  <c r="B18" i="3"/>
  <c r="A18" i="3"/>
  <c r="D17" i="3"/>
  <c r="C17" i="3"/>
  <c r="B17" i="3"/>
  <c r="A17" i="3"/>
  <c r="D15" i="3"/>
  <c r="C15" i="3"/>
  <c r="B15" i="3"/>
  <c r="A15" i="3"/>
  <c r="D14" i="3"/>
  <c r="C14" i="3"/>
  <c r="B14" i="3"/>
  <c r="A14" i="3"/>
  <c r="D12" i="3"/>
  <c r="C12" i="3"/>
  <c r="B12" i="3"/>
  <c r="A12" i="3"/>
  <c r="D11" i="3"/>
  <c r="C11" i="3"/>
  <c r="B11" i="3"/>
  <c r="A11" i="3"/>
  <c r="D9" i="3"/>
  <c r="C9" i="3"/>
  <c r="B9" i="3"/>
  <c r="A9" i="3"/>
  <c r="D8" i="3"/>
  <c r="C8" i="3"/>
  <c r="B8" i="3"/>
  <c r="A8" i="3"/>
  <c r="D6" i="3"/>
  <c r="C6" i="3"/>
  <c r="B6" i="3"/>
  <c r="A6" i="3"/>
  <c r="D5" i="3"/>
  <c r="C5" i="3"/>
  <c r="B5" i="3"/>
  <c r="A5" i="3"/>
  <c r="D3" i="3"/>
  <c r="C3" i="3"/>
  <c r="B3" i="3"/>
  <c r="A3" i="3"/>
  <c r="D2" i="3"/>
  <c r="C2" i="3"/>
  <c r="B2" i="3"/>
  <c r="A2" i="3"/>
  <c r="A42" i="2"/>
  <c r="D40" i="2"/>
  <c r="C40" i="2"/>
  <c r="B40" i="2"/>
  <c r="A40" i="2"/>
  <c r="D39" i="2"/>
  <c r="C39" i="2"/>
  <c r="B39" i="2"/>
  <c r="A39" i="2"/>
  <c r="D38" i="2"/>
  <c r="C38" i="2"/>
  <c r="B38" i="2"/>
  <c r="A38" i="2"/>
  <c r="D36" i="2"/>
  <c r="C36" i="2"/>
  <c r="B36" i="2"/>
  <c r="A36" i="2"/>
  <c r="D35" i="2"/>
  <c r="C35" i="2"/>
  <c r="B35" i="2"/>
  <c r="A35" i="2"/>
  <c r="D33" i="2"/>
  <c r="C33" i="2"/>
  <c r="B33" i="2"/>
  <c r="A33" i="2"/>
  <c r="D32" i="2"/>
  <c r="C32" i="2"/>
  <c r="B32" i="2"/>
  <c r="A32" i="2"/>
  <c r="D30" i="2"/>
  <c r="C30" i="2"/>
  <c r="B30" i="2"/>
  <c r="A30" i="2"/>
  <c r="D29" i="2"/>
  <c r="C29" i="2"/>
  <c r="B29" i="2"/>
  <c r="A29" i="2"/>
  <c r="D27" i="2"/>
  <c r="C27" i="2"/>
  <c r="B27" i="2"/>
  <c r="A27" i="2"/>
  <c r="D26" i="2"/>
  <c r="C26" i="2"/>
  <c r="B26" i="2"/>
  <c r="A26" i="2"/>
  <c r="D24" i="2"/>
  <c r="C24" i="2"/>
  <c r="B24" i="2"/>
  <c r="A24" i="2"/>
  <c r="D23" i="2"/>
  <c r="C23" i="2"/>
  <c r="B23" i="2"/>
  <c r="A23" i="2"/>
  <c r="D21" i="2"/>
  <c r="C21" i="2"/>
  <c r="B21" i="2"/>
  <c r="A21" i="2"/>
  <c r="D20" i="2"/>
  <c r="C20" i="2"/>
  <c r="B20" i="2"/>
  <c r="A20" i="2"/>
  <c r="D18" i="2"/>
  <c r="C18" i="2"/>
  <c r="B18" i="2"/>
  <c r="A18" i="2"/>
  <c r="D17" i="2"/>
  <c r="C17" i="2"/>
  <c r="B17" i="2"/>
  <c r="A17" i="2"/>
  <c r="D15" i="2"/>
  <c r="C15" i="2"/>
  <c r="B15" i="2"/>
  <c r="A15" i="2"/>
  <c r="D14" i="2"/>
  <c r="C14" i="2"/>
  <c r="B14" i="2"/>
  <c r="A14" i="2"/>
  <c r="D12" i="2"/>
  <c r="C12" i="2"/>
  <c r="B12" i="2"/>
  <c r="A12" i="2"/>
  <c r="D11" i="2"/>
  <c r="C11" i="2"/>
  <c r="B11" i="2"/>
  <c r="A11" i="2"/>
  <c r="D9" i="2"/>
  <c r="C9" i="2"/>
  <c r="B9" i="2"/>
  <c r="A9" i="2"/>
  <c r="D8" i="2"/>
  <c r="C8" i="2"/>
  <c r="B8" i="2"/>
  <c r="A8" i="2"/>
  <c r="D6" i="2"/>
  <c r="C6" i="2"/>
  <c r="B6" i="2"/>
  <c r="A6" i="2"/>
  <c r="D5" i="2"/>
  <c r="C5" i="2"/>
  <c r="B5" i="2"/>
  <c r="A5" i="2"/>
  <c r="D3" i="2"/>
  <c r="C3" i="2"/>
  <c r="B3" i="2"/>
  <c r="A3" i="2"/>
  <c r="D2" i="2"/>
  <c r="C2" i="2"/>
  <c r="B2" i="2"/>
  <c r="A2" i="2"/>
  <c r="A42" i="1"/>
  <c r="D40" i="1"/>
  <c r="C40" i="1"/>
  <c r="B40" i="1"/>
  <c r="A40" i="1"/>
  <c r="D39" i="1"/>
  <c r="C39" i="1"/>
  <c r="B39" i="1"/>
  <c r="A39" i="1"/>
  <c r="D38" i="1"/>
  <c r="C38" i="1"/>
  <c r="B38" i="1"/>
  <c r="A38" i="1"/>
  <c r="D36" i="1"/>
  <c r="C36" i="1"/>
  <c r="B36" i="1"/>
  <c r="A36" i="1"/>
  <c r="D35" i="1"/>
  <c r="C35" i="1"/>
  <c r="B35" i="1"/>
  <c r="A35" i="1"/>
  <c r="D33" i="1"/>
  <c r="C33" i="1"/>
  <c r="B33" i="1"/>
  <c r="A33" i="1"/>
  <c r="D32" i="1"/>
  <c r="C32" i="1"/>
  <c r="B32" i="1"/>
  <c r="A32" i="1"/>
  <c r="D30" i="1"/>
  <c r="C30" i="1"/>
  <c r="B30" i="1"/>
  <c r="A30" i="1"/>
  <c r="D29" i="1"/>
  <c r="C29" i="1"/>
  <c r="B29" i="1"/>
  <c r="A29" i="1"/>
  <c r="D27" i="1"/>
  <c r="C27" i="1"/>
  <c r="B27" i="1"/>
  <c r="A27" i="1"/>
  <c r="D26" i="1"/>
  <c r="C26" i="1"/>
  <c r="B26" i="1"/>
  <c r="A26" i="1"/>
  <c r="D24" i="1"/>
  <c r="C24" i="1"/>
  <c r="B24" i="1"/>
  <c r="A24" i="1"/>
  <c r="D23" i="1"/>
  <c r="C23" i="1"/>
  <c r="B23" i="1"/>
  <c r="A23" i="1"/>
  <c r="D21" i="1"/>
  <c r="C21" i="1"/>
  <c r="B21" i="1"/>
  <c r="A21" i="1"/>
  <c r="D20" i="1"/>
  <c r="C20" i="1"/>
  <c r="B20" i="1"/>
  <c r="A20" i="1"/>
  <c r="D18" i="1"/>
  <c r="C18" i="1"/>
  <c r="B18" i="1"/>
  <c r="A18" i="1"/>
  <c r="D17" i="1"/>
  <c r="C17" i="1"/>
  <c r="B17" i="1"/>
  <c r="A17" i="1"/>
  <c r="D15" i="1"/>
  <c r="C15" i="1"/>
  <c r="B15" i="1"/>
  <c r="A15" i="1"/>
  <c r="D14" i="1"/>
  <c r="C14" i="1"/>
  <c r="B14" i="1"/>
  <c r="A14" i="1"/>
  <c r="D12" i="1"/>
  <c r="C12" i="1"/>
  <c r="B12" i="1"/>
  <c r="A12" i="1"/>
  <c r="D11" i="1"/>
  <c r="C11" i="1"/>
  <c r="B11" i="1"/>
  <c r="A11" i="1"/>
  <c r="D9" i="1"/>
  <c r="C9" i="1"/>
  <c r="B9" i="1"/>
  <c r="A9" i="1"/>
  <c r="D8" i="1"/>
  <c r="C8" i="1"/>
  <c r="B8" i="1"/>
  <c r="A8" i="1"/>
  <c r="D6" i="1"/>
  <c r="C6" i="1"/>
  <c r="B6" i="1"/>
  <c r="A6" i="1"/>
  <c r="D5" i="1"/>
  <c r="C5" i="1"/>
  <c r="B5" i="1"/>
  <c r="A5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<sst xmlns="http://schemas.openxmlformats.org/spreadsheetml/2006/main" count="417" uniqueCount="327">
  <si>
    <t>="* p&lt;0.10</t>
  </si>
  <si>
    <t xml:space="preserve"> ** p&lt;0.05</t>
  </si>
  <si>
    <t xml:space="preserve"> *** p&lt;0.01"</t>
  </si>
  <si>
    <t>* model: ppml without any fixed effects</t>
  </si>
  <si>
    <t>* trade flow: country i's import (from country j to country i)</t>
  </si>
  <si>
    <t>* model: ppmlhdfe, fixed effects: i-j-t</t>
  </si>
  <si>
    <t>* model: OLS, fixed effects: i-j-t</t>
  </si>
  <si>
    <t>* BRI_i=1 if country i joins BRI before or on 2019-12-31 and country j doesn't, and 0 otherwise</t>
  </si>
  <si>
    <t>* BRI_it=1 if country i is a BRI member in year t and country j is a non-BRI country in year t, and 0 otherwise</t>
  </si>
  <si>
    <t>* BRI_jt=1 if country i is a non-BRI country in year t and country j is a BRI member in year t, and 0 otherwise</t>
  </si>
  <si>
    <t>* BRI_ijt=1 if both country i and country j are BRI members in year t, and 0 otherwise</t>
  </si>
  <si>
    <t xml:space="preserve">* BRI_jt=1 if country i is a non-BRI country in year t and country j is a BRI member in year t, and 0 otherwise </t>
  </si>
  <si>
    <t xml:space="preserve">* BRI_it=1 if country i is a BRI member in year t and country j is a non-BRI country in year t, and 0 otherwise </t>
  </si>
  <si>
    <t>* BRI_j=1 if country j joins BRI before or on 2019-12-31 and country j doesn't, and 0 otherwise</t>
  </si>
  <si>
    <t>* BRI_ij=1 if both country i and country j join BRI before or on 2019-12-31, and 0 otherwise</t>
  </si>
  <si>
    <t>* BRI_j and BRI_ij are omitted.</t>
  </si>
  <si>
    <t>Setting:</t>
  </si>
  <si>
    <t xml:space="preserve">* directly downloaded from WITS (https://wits.worldbank.org) -&gt; advanced query -&gt; Trade data (UM Comtrade) </t>
  </si>
  <si>
    <t>* Reporters: All countries All--All</t>
  </si>
  <si>
    <t>* Products: HS 1988/92 (Selected Classification); Total - total trade</t>
  </si>
  <si>
    <t xml:space="preserve">* Partners: All countries All--All </t>
  </si>
  <si>
    <t>* Years: 2010-2018</t>
  </si>
  <si>
    <t>* Trade flow: Gross Imports, Gross Exports</t>
  </si>
  <si>
    <t>* Source: https://www.ewf.uni-bayreuth.de/en/research/RTA-data/index.html</t>
  </si>
  <si>
    <t>wits_2010-2018_for_merge.dta</t>
  </si>
  <si>
    <t>variable of interest: RTA</t>
  </si>
  <si>
    <t>rta.dta</t>
  </si>
  <si>
    <t>gravity_cepii.dta</t>
  </si>
  <si>
    <t>* Source: http://www.cepii.fr/CEPII/en/bdd_modele/presentation.asp?id=6</t>
  </si>
  <si>
    <t>variables of interest: ln_distcap, col45, comleg_posttrans, contig</t>
  </si>
  <si>
    <t>variable of interest: import/ln_import</t>
  </si>
  <si>
    <t>gdp_2010-2018.dta</t>
  </si>
  <si>
    <t>* Source: https://data.worldbank.org/indicator/NY.GDP.MKTP.CD</t>
  </si>
  <si>
    <t>variables of interest: ln_cty_gdp, ln_ptn_gdp</t>
  </si>
  <si>
    <t>bri_list_new.dta</t>
  </si>
  <si>
    <t>* Source: https://www.yidaiyilu.gov.cn/gbjg/gbgk/77073.htm</t>
  </si>
  <si>
    <t>variables of interest: dummy variables of BRI</t>
  </si>
  <si>
    <t xml:space="preserve">Dataset for regression: </t>
  </si>
  <si>
    <t>(1) gravity model: bilateral trade flows among all sample countries (exluding China): 135 countries</t>
  </si>
  <si>
    <t xml:space="preserve"> </t>
  </si>
  <si>
    <t>iso3</t>
  </si>
  <si>
    <t>country</t>
  </si>
  <si>
    <t>entry_year</t>
  </si>
  <si>
    <t>bri</t>
  </si>
  <si>
    <t>AGO</t>
  </si>
  <si>
    <t>Angola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</si>
  <si>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</si>
  <si>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</si>
  <si>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</si>
  <si>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</si>
  <si>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</si>
  <si>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</si>
  <si>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</si>
  <si>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</si>
  <si>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</si>
  <si>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</si>
  <si>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</si>
  <si>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</si>
  <si>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</si>
  <si>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</si>
  <si>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</si>
  <si>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</si>
  <si>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</si>
  <si>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</si>
  <si>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</si>
  <si>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</si>
  <si>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</si>
  <si>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</si>
  <si>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</si>
  <si>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</si>
  <si>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</si>
  <si>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</si>
  <si>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</si>
  <si>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</si>
  <si>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</si>
  <si>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</si>
  <si>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</si>
  <si>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</si>
  <si>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</si>
  <si>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</si>
  <si>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</si>
  <si>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</si>
  <si>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</si>
  <si>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</si>
  <si>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</si>
  <si>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</si>
  <si>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</si>
  <si>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</si>
  <si>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</si>
  <si>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</si>
  <si>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</si>
  <si>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</si>
  <si>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</si>
  <si>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</si>
  <si>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</si>
  <si>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</si>
  <si>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</si>
  <si>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</si>
  <si>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</si>
  <si>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</si>
  <si>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</si>
  <si>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</si>
  <si>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CIV</t>
  </si>
  <si>
    <t>Cote d'Ivoire</t>
  </si>
  <si>
    <t>COG</t>
  </si>
  <si>
    <t>Congo, Rep.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</si>
  <si>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</si>
  <si>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</si>
  <si>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</si>
  <si>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</si>
  <si>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</si>
  <si>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</si>
  <si>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</si>
  <si>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</si>
  <si>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CYP</t>
  </si>
  <si>
    <t>Cyprus</t>
  </si>
  <si>
    <t>CZE</t>
  </si>
  <si>
    <t>Czech Republic</t>
  </si>
  <si>
    <t>DEU</t>
  </si>
  <si>
    <t>Germany</t>
  </si>
  <si>
    <t>DNK</t>
  </si>
  <si>
    <t>Denmark</t>
  </si>
  <si>
    <t>DOM</t>
  </si>
  <si>
    <t>Dominican Republic</t>
  </si>
  <si>
    <t>ECU</t>
  </si>
  <si>
    <t>Ecuador</t>
  </si>
  <si>
    <t>EGY</t>
  </si>
  <si>
    <t>Egypt, Arab Rep.</t>
  </si>
  <si>
    <t>ESP</t>
  </si>
  <si>
    <t>Spain</t>
  </si>
  <si>
    <t>EST</t>
  </si>
  <si>
    <t>Estonia</t>
  </si>
  <si>
    <t>ETH</t>
  </si>
  <si>
    <t>Ethiopia(excludes Eritrea)</t>
  </si>
  <si>
    <t>FIN</t>
  </si>
  <si>
    <t>Finland</t>
  </si>
  <si>
    <t>FJI</t>
  </si>
  <si>
    <t>Fiji</t>
  </si>
  <si>
    <t>FRA</t>
  </si>
  <si>
    <t>France</t>
  </si>
  <si>
    <t>GBR</t>
  </si>
  <si>
    <t>United Kingdom</t>
  </si>
  <si>
    <t>GEO</t>
  </si>
  <si>
    <t>Georgia</t>
  </si>
  <si>
    <t>GHA</t>
  </si>
  <si>
    <t>Ghana</t>
  </si>
  <si>
    <t>GMB</t>
  </si>
  <si>
    <t>Gambia, The</t>
  </si>
  <si>
    <t>GRC</t>
  </si>
  <si>
    <t>Greece</t>
  </si>
  <si>
    <t>GRL</t>
  </si>
  <si>
    <t>Greenland</t>
  </si>
  <si>
    <t>GTM</t>
  </si>
  <si>
    <t>Guatemala</t>
  </si>
  <si>
    <t>GUY</t>
  </si>
  <si>
    <t>Guyana</t>
  </si>
  <si>
    <t>HKG</t>
  </si>
  <si>
    <t>Hong Kong, China</t>
  </si>
  <si>
    <t>HRV</t>
  </si>
  <si>
    <t>Croatia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</si>
  <si>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</si>
  <si>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</si>
  <si>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</si>
  <si>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</si>
  <si>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</si>
  <si>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</si>
  <si>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</si>
  <si>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</si>
  <si>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ISL</t>
  </si>
  <si>
    <t>Iceland</t>
  </si>
  <si>
    <t>ISR</t>
  </si>
  <si>
    <t>Israel</t>
  </si>
  <si>
    <t>ITA</t>
  </si>
  <si>
    <t>Italy</t>
  </si>
  <si>
    <t>JOR</t>
  </si>
  <si>
    <t>Jordan</t>
  </si>
  <si>
    <t>JPN</t>
  </si>
  <si>
    <t>Japan</t>
  </si>
  <si>
    <t>KAZ</t>
  </si>
  <si>
    <t>Kazakhstan</t>
  </si>
  <si>
    <t>KGZ</t>
  </si>
  <si>
    <t>Kyrgyz Republic</t>
  </si>
  <si>
    <t>KHM</t>
  </si>
  <si>
    <t>Cambodia</t>
  </si>
  <si>
    <t>KOR</t>
  </si>
  <si>
    <t>Korea, Rep.</t>
  </si>
  <si>
    <t>LAO</t>
  </si>
  <si>
    <t>Lao PDR</t>
  </si>
  <si>
    <t>LBN</t>
  </si>
  <si>
    <t>Lebanon</t>
  </si>
  <si>
    <t>LCA</t>
  </si>
  <si>
    <t>St. Lucia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</si>
  <si>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</si>
  <si>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</si>
  <si>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</si>
  <si>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</si>
  <si>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</si>
  <si>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</si>
  <si>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</si>
  <si>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</si>
  <si>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</si>
  <si>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</si>
  <si>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</si>
  <si>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</si>
  <si>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</si>
  <si>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</si>
  <si>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</si>
  <si>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</si>
  <si>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MKD</t>
  </si>
  <si>
    <t>North Macedonia</t>
  </si>
  <si>
    <t>MLT</t>
  </si>
  <si>
    <t>Malta</t>
  </si>
  <si>
    <t>MMR</t>
  </si>
  <si>
    <t>Myanmar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</si>
  <si>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</si>
  <si>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</si>
  <si>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</si>
  <si>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</si>
  <si>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</si>
  <si>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</si>
  <si>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</si>
  <si>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</si>
  <si>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</si>
  <si>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</si>
  <si>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</si>
  <si>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</si>
  <si>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</si>
  <si>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</si>
  <si>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</si>
  <si>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</si>
  <si>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</si>
  <si>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</si>
  <si>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</si>
  <si>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</si>
  <si>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NZL</t>
  </si>
  <si>
    <t>New Zealand</t>
  </si>
  <si>
    <t>OMN</t>
  </si>
  <si>
    <t>Oman</t>
  </si>
  <si>
    <t>PAK</t>
  </si>
  <si>
    <t>Pakistan</t>
  </si>
  <si>
    <t>PER</t>
  </si>
  <si>
    <t>Peru</t>
  </si>
  <si>
    <t>PHL</t>
  </si>
  <si>
    <t>Philippines</t>
  </si>
  <si>
    <t>PLW</t>
  </si>
  <si>
    <t>Palau</t>
  </si>
  <si>
    <t>POL</t>
  </si>
  <si>
    <t>Poland</t>
  </si>
  <si>
    <t>PRT</t>
  </si>
  <si>
    <t>Portugal</t>
  </si>
  <si>
    <t>PRY</t>
  </si>
  <si>
    <t>Paraguay</t>
  </si>
  <si>
    <t>PSE</t>
  </si>
  <si>
    <t>Occ.Pal.Terr</t>
  </si>
  <si>
    <t>QAT</t>
  </si>
  <si>
    <t>Qatar</t>
  </si>
  <si>
    <t>RUS</t>
  </si>
  <si>
    <t>Russian Federation</t>
  </si>
  <si>
    <t>RWA</t>
  </si>
  <si>
    <t>Rwanda</t>
  </si>
  <si>
    <t>SAU</t>
  </si>
  <si>
    <t>Saudi Arabia</t>
  </si>
  <si>
    <t>SEN</t>
  </si>
  <si>
    <t>Senegal</t>
  </si>
  <si>
    <t>SGP</t>
  </si>
  <si>
    <t>Singapore</t>
  </si>
  <si>
    <t>SLB</t>
  </si>
  <si>
    <t>Solomon Islands</t>
  </si>
  <si>
    <t>SLV</t>
  </si>
  <si>
    <t>El Salvador</t>
  </si>
  <si>
    <t>STP</t>
  </si>
  <si>
    <t>Sao Tome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</si>
  <si>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</si>
  <si>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</si>
  <si>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</si>
  <si>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</si>
  <si>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</si>
  <si>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</si>
  <si>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</si>
  <si>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</si>
  <si>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</si>
  <si>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</si>
  <si>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SYC</t>
  </si>
  <si>
    <t>Seychelles</t>
  </si>
  <si>
    <t>TGO</t>
  </si>
  <si>
    <t>Togo</t>
  </si>
  <si>
    <t>THA</t>
  </si>
  <si>
    <t>Thailand</t>
  </si>
  <si>
    <t>TUN</t>
  </si>
  <si>
    <t>Tunisia</t>
  </si>
  <si>
    <t>TUR</t>
  </si>
  <si>
    <t>Turkey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</si>
  <si>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</si>
  <si>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</si>
  <si>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</si>
  <si>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</si>
  <si>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</si>
  <si>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</si>
  <si>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</si>
  <si>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</si>
  <si>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</si>
  <si>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</si>
  <si>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VCT</t>
  </si>
  <si>
    <t>St. Vincent and the Grenadines</t>
  </si>
  <si>
    <t>VNM</t>
  </si>
  <si>
    <t>Vietnam</t>
  </si>
  <si>
    <t>WSM</t>
  </si>
  <si>
    <t>Samoa</t>
  </si>
  <si>
    <t>ZAF</t>
  </si>
  <si>
    <t>South Africa</t>
  </si>
  <si>
    <t>ZMB</t>
  </si>
  <si>
    <t>Zambia</t>
  </si>
  <si>
    <t>ZWE</t>
  </si>
  <si>
    <t>Zimbabwe</t>
  </si>
  <si>
    <t>number</t>
  </si>
  <si>
    <t>Total</t>
  </si>
  <si>
    <t>BRI</t>
  </si>
  <si>
    <t>non-BRI</t>
  </si>
  <si>
    <t>* model: OLS, fixed effects: i-t</t>
  </si>
  <si>
    <t>* bri_entry=1 if the country is a BRI member in year t, and 0 otherwise</t>
  </si>
  <si>
    <t>* BRI=1 if the country joins BRI before or on 2019-12-31, and 0 otherwise</t>
  </si>
  <si>
    <t>(2) gravity model: bilateral trade flows among all sample countries (exluding China) --- incremental effects: 135 countries</t>
  </si>
  <si>
    <t>(3) regression: trade with ROW (exluding China): 135 countries</t>
  </si>
  <si>
    <t>* all_reg_without_chn_v1.dta</t>
  </si>
  <si>
    <t>* all_reg_row_without_chn.dta</t>
  </si>
  <si>
    <t>* observations (including zero flows): 1215 = 135 (countries) * 9 (years)</t>
  </si>
  <si>
    <t>* observations (including zero flows): 162810 = 135 (countries) * 134 (countries) * 9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</si>
</sst>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8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3</xdr:row>
      <xdr:rowOff>45720</xdr:rowOff>
    </xdr:from>
    <xdr:to>
      <xdr:col>8</xdr:col>
      <xdr:colOff>604393</xdr:colOff>
      <xdr:row>7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0D05E-E4AD-4850-B2EA-2B0F17D6B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" y="594360"/>
          <a:ext cx="9839833" cy="830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078A-4A55-411C-8ED4-463904CBFD26}">
  <dimension ref="A2:B30"/>
  <sheetViews>
    <sheetView tabSelected="1" workbookViewId="0">
      <selection activeCell="M12" sqref="M12"/>
    </sheetView>
  </sheetViews>
  <sheetFormatPr defaultRowHeight="14.4"/>
  <cols>
    <col min="1" max="1" width="27.5546875" bestFit="1" customWidth="1"/>
  </cols>
  <sheetData>
    <row r="2" spans="1:2">
      <c r="A2" s="1" t="s">
        <v>24</v>
      </c>
      <c r="B2" t="s">
        <v>17</v>
      </c>
    </row>
    <row r="3" spans="1:2">
      <c r="B3" t="s">
        <v>18</v>
      </c>
    </row>
    <row r="4" spans="1:2">
      <c r="B4" t="s">
        <v>19</v>
      </c>
    </row>
    <row r="5" spans="1:2">
      <c r="B5" t="s">
        <v>20</v>
      </c>
    </row>
    <row r="6" spans="1:2">
      <c r="B6" t="s">
        <v>21</v>
      </c>
    </row>
    <row r="7" spans="1:2">
      <c r="B7" t="s">
        <v>22</v>
      </c>
    </row>
    <row r="8" spans="1:2">
      <c r="B8" s="1" t="s">
        <v>30</v>
      </c>
    </row>
    <row r="10" spans="1:2">
      <c r="A10" s="1" t="s">
        <v>26</v>
      </c>
      <c r="B10" t="s">
        <v>23</v>
      </c>
    </row>
    <row r="11" spans="1:2">
      <c r="B11" s="1" t="s">
        <v>25</v>
      </c>
    </row>
    <row r="13" spans="1:2">
      <c r="A13" s="1" t="s">
        <v>27</v>
      </c>
      <c r="B13" t="s">
        <v>28</v>
      </c>
    </row>
    <row r="14" spans="1:2">
      <c r="B14" s="1" t="s">
        <v>29</v>
      </c>
    </row>
    <row r="16" spans="1:2">
      <c r="A16" s="1" t="s">
        <v>31</v>
      </c>
      <c r="B16" t="s">
        <v>32</v>
      </c>
    </row>
    <row r="17" spans="1:2">
      <c r="B17" s="1" t="s">
        <v>33</v>
      </c>
    </row>
    <row r="19" spans="1:2">
      <c r="A19" s="1" t="s">
        <v>34</v>
      </c>
      <c r="B19" t="s">
        <v>35</v>
      </c>
    </row>
    <row r="20" spans="1:2">
      <c r="B20" s="1" t="s">
        <v>36</v>
      </c>
    </row>
    <row r="23" spans="1:2">
      <c r="A23" s="1" t="s">
        <v>37</v>
      </c>
      <c r="B23" s="1" t="s">
        <v>38</v>
      </c>
    </row>
    <row r="24" spans="1:2">
      <c r="B24" s="1" t="s">
        <v>321</v>
      </c>
    </row>
    <row r="25" spans="1:2">
      <c r="B25" s="2" t="s">
        <v>323</v>
      </c>
    </row>
    <row r="26" spans="1:2">
      <c r="B26" s="2" t="s">
        <v>326</v>
      </c>
    </row>
    <row r="28" spans="1:2">
      <c r="B28" s="1" t="s">
        <v>322</v>
      </c>
    </row>
    <row r="29" spans="1:2">
      <c r="B29" t="s">
        <v>324</v>
      </c>
    </row>
    <row r="30" spans="1:2">
      <c r="B30" t="s">
        <v>325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2377-FC85-4A25-A5DC-1D4C9DC0D2D6}">
  <dimension ref="A10:D16"/>
  <sheetViews>
    <sheetView workbookViewId="0">
      <selection activeCell="B16" sqref="B16"/>
    </sheetView>
  </sheetViews>
  <sheetFormatPr defaultRowHeight="14.4"/>
  <cols>
    <col min="2" max="2" width="81.21875" bestFit="1" customWidth="1"/>
  </cols>
  <sheetData>
    <row r="10" spans="1:4">
      <c r="B10" s="1" t="s">
        <v>15</v>
      </c>
    </row>
    <row r="12" spans="1:4">
      <c r="A12" s="1" t="s">
        <v>16</v>
      </c>
      <c r="B12" s="1" t="s">
        <v>4</v>
      </c>
    </row>
    <row r="13" spans="1:4">
      <c r="B13" s="1" t="s">
        <v>7</v>
      </c>
    </row>
    <row r="14" spans="1:4">
      <c r="B14" s="1" t="s">
        <v>13</v>
      </c>
    </row>
    <row r="15" spans="1:4">
      <c r="B15" s="1" t="s">
        <v>14</v>
      </c>
    </row>
    <row r="16" spans="1:4">
      <c r="B16" s="1" t="s">
        <v>5</v>
      </c>
      <c r="D16" t="s">
        <v>39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C247-A5D2-4ADA-B71D-9BA244B5DBD0}">
  <dimension ref="A2:F43"/>
  <sheetViews>
    <sheetView workbookViewId="0">
      <selection activeCell="F14" sqref="F14"/>
    </sheetView>
  </sheetViews>
  <sheetFormatPr defaultRowHeight="14.4"/>
  <cols>
    <col min="1" max="1" width="26.21875" bestFit="1" customWidth="1"/>
    <col min="2" max="4" width="11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"Import"</f>
        <v>Import</v>
      </c>
      <c r="C3" t="str">
        <f>"Import"</f>
        <v>Import</v>
      </c>
      <c r="D3" t="str">
        <f>"Import"</f>
        <v>Import</v>
      </c>
    </row>
    <row r="5" spans="1:6">
      <c r="A5" t="str">
        <f>"ln (captial distance)"</f>
        <v>ln (captial distance)</v>
      </c>
      <c r="B5" t="str">
        <f>"-0.794***"</f>
        <v>-0.794***</v>
      </c>
      <c r="C5" t="str">
        <f>"-0.692***"</f>
        <v>-0.692***</v>
      </c>
      <c r="D5" t="str">
        <f>"-0.563***"</f>
        <v>-0.563***</v>
      </c>
    </row>
    <row r="6" spans="1:6">
      <c r="A6" t="str">
        <f>""</f>
        <v/>
      </c>
      <c r="B6" t="str">
        <f>"(0.00987)"</f>
        <v>(0.00987)</v>
      </c>
      <c r="C6" t="str">
        <f>"(0.0131)"</f>
        <v>(0.0131)</v>
      </c>
      <c r="D6" t="str">
        <f>"(0.0157)"</f>
        <v>(0.0157)</v>
      </c>
    </row>
    <row r="8" spans="1:6">
      <c r="A8" t="str">
        <f>"ln (country's GDP)"</f>
        <v>ln (country's GDP)</v>
      </c>
      <c r="B8" t="str">
        <f>"0.848***"</f>
        <v>0.848***</v>
      </c>
      <c r="C8" t="str">
        <f>"0.860***"</f>
        <v>0.860***</v>
      </c>
      <c r="D8" t="str">
        <f>"0.834***"</f>
        <v>0.834***</v>
      </c>
      <c r="F8" s="1" t="s">
        <v>4</v>
      </c>
    </row>
    <row r="9" spans="1:6">
      <c r="A9" t="str">
        <f>""</f>
        <v/>
      </c>
      <c r="B9" t="str">
        <f>"(0.00970)"</f>
        <v>(0.00970)</v>
      </c>
      <c r="C9" t="str">
        <f>"(0.00992)"</f>
        <v>(0.00992)</v>
      </c>
      <c r="D9" t="str">
        <f>"(0.00812)"</f>
        <v>(0.00812)</v>
      </c>
      <c r="F9" s="1" t="s">
        <v>7</v>
      </c>
    </row>
    <row r="10" spans="1:6">
      <c r="F10" s="1" t="s">
        <v>13</v>
      </c>
    </row>
    <row r="11" spans="1:6">
      <c r="A11" t="str">
        <f>"ln (partner's GDP)"</f>
        <v>ln (partner's GDP)</v>
      </c>
      <c r="B11" t="str">
        <f>"0.852***"</f>
        <v>0.852***</v>
      </c>
      <c r="C11" t="str">
        <f>"0.864***"</f>
        <v>0.864***</v>
      </c>
      <c r="D11" t="str">
        <f>"0.838***"</f>
        <v>0.838***</v>
      </c>
      <c r="F11" s="1" t="s">
        <v>14</v>
      </c>
    </row>
    <row r="12" spans="1:6">
      <c r="A12" t="str">
        <f>""</f>
        <v/>
      </c>
      <c r="B12" t="str">
        <f>"(0.00689)"</f>
        <v>(0.00689)</v>
      </c>
      <c r="C12" t="str">
        <f>"(0.00671)"</f>
        <v>(0.00671)</v>
      </c>
      <c r="D12" t="str">
        <f>"(0.00758)"</f>
        <v>(0.00758)</v>
      </c>
      <c r="F12" s="1" t="s">
        <v>3</v>
      </c>
    </row>
    <row r="14" spans="1:6">
      <c r="A14" t="str">
        <f>"BRI_i"</f>
        <v>BRI_i</v>
      </c>
      <c r="B14" t="str">
        <f>"-0.0541**"</f>
        <v>-0.0541**</v>
      </c>
      <c r="C14" t="str">
        <f>"-0.0351"</f>
        <v>-0.0351</v>
      </c>
      <c r="D14" t="str">
        <f>"-0.0236"</f>
        <v>-0.0236</v>
      </c>
    </row>
    <row r="15" spans="1:6">
      <c r="A15" t="str">
        <f>""</f>
        <v/>
      </c>
      <c r="B15" t="str">
        <f>"(0.0271)"</f>
        <v>(0.0271)</v>
      </c>
      <c r="C15" t="str">
        <f>"(0.0260)"</f>
        <v>(0.0260)</v>
      </c>
      <c r="D15" t="str">
        <f>"(0.0258)"</f>
        <v>(0.0258)</v>
      </c>
    </row>
    <row r="17" spans="1:4">
      <c r="A17" t="str">
        <f>"BRI_j"</f>
        <v>BRI_j</v>
      </c>
      <c r="B17" t="str">
        <f>"0.129***"</f>
        <v>0.129***</v>
      </c>
      <c r="C17" t="str">
        <f>"0.147***"</f>
        <v>0.147***</v>
      </c>
      <c r="D17" t="str">
        <f>"0.159***"</f>
        <v>0.159***</v>
      </c>
    </row>
    <row r="18" spans="1:4">
      <c r="A18" t="str">
        <f>""</f>
        <v/>
      </c>
      <c r="B18" t="str">
        <f>"(0.0311)"</f>
        <v>(0.0311)</v>
      </c>
      <c r="C18" t="str">
        <f>"(0.0292)"</f>
        <v>(0.0292)</v>
      </c>
      <c r="D18" t="str">
        <f>"(0.0266)"</f>
        <v>(0.0266)</v>
      </c>
    </row>
    <row r="20" spans="1:4">
      <c r="A20" t="str">
        <f>"BRI_ij"</f>
        <v>BRI_ij</v>
      </c>
      <c r="B20" t="str">
        <f>"0.360***"</f>
        <v>0.360***</v>
      </c>
      <c r="C20" t="str">
        <f>"0.424***"</f>
        <v>0.424***</v>
      </c>
      <c r="D20" t="str">
        <f>"0.371***"</f>
        <v>0.371***</v>
      </c>
    </row>
    <row r="21" spans="1:4">
      <c r="A21" t="str">
        <f>""</f>
        <v/>
      </c>
      <c r="B21" t="str">
        <f>"(0.0283)"</f>
        <v>(0.0283)</v>
      </c>
      <c r="C21" t="str">
        <f>"(0.0280)"</f>
        <v>(0.0280)</v>
      </c>
      <c r="D21" t="str">
        <f>"(0.0275)"</f>
        <v>(0.0275)</v>
      </c>
    </row>
    <row r="23" spans="1:4">
      <c r="A23" t="str">
        <f>"RTA"</f>
        <v>RTA</v>
      </c>
      <c r="B23" t="str">
        <f>""</f>
        <v/>
      </c>
      <c r="C23" t="str">
        <f>"0.402***"</f>
        <v>0.402***</v>
      </c>
      <c r="D23" t="str">
        <f>"0.364***"</f>
        <v>0.364***</v>
      </c>
    </row>
    <row r="24" spans="1:4">
      <c r="A24" t="str">
        <f>""</f>
        <v/>
      </c>
      <c r="B24" t="str">
        <f>""</f>
        <v/>
      </c>
      <c r="C24" t="str">
        <f>"(0.0299)"</f>
        <v>(0.0299)</v>
      </c>
      <c r="D24" t="str">
        <f>"(0.0244)"</f>
        <v>(0.0244)</v>
      </c>
    </row>
    <row r="26" spans="1:4">
      <c r="A26" t="str">
        <f>"col45"</f>
        <v>col45</v>
      </c>
      <c r="B26" t="str">
        <f>""</f>
        <v/>
      </c>
      <c r="C26" t="str">
        <f>""</f>
        <v/>
      </c>
      <c r="D26" t="str">
        <f>"0.333***"</f>
        <v>0.333***</v>
      </c>
    </row>
    <row r="27" spans="1:4">
      <c r="A27" t="str">
        <f>""</f>
        <v/>
      </c>
      <c r="B27" t="str">
        <f>""</f>
        <v/>
      </c>
      <c r="C27" t="str">
        <f>""</f>
        <v/>
      </c>
      <c r="D27" t="str">
        <f>"(0.0423)"</f>
        <v>(0.0423)</v>
      </c>
    </row>
    <row r="29" spans="1:4">
      <c r="A29" t="str">
        <f>"Contiguity"</f>
        <v>Contiguity</v>
      </c>
      <c r="B29" t="str">
        <f>""</f>
        <v/>
      </c>
      <c r="C29" t="str">
        <f>""</f>
        <v/>
      </c>
      <c r="D29" t="str">
        <f>"0.625***"</f>
        <v>0.625***</v>
      </c>
    </row>
    <row r="30" spans="1:4">
      <c r="A30" t="str">
        <f>""</f>
        <v/>
      </c>
      <c r="B30" t="str">
        <f>""</f>
        <v/>
      </c>
      <c r="C30" t="str">
        <f>""</f>
        <v/>
      </c>
      <c r="D30" t="str">
        <f>"(0.0461)"</f>
        <v>(0.0461)</v>
      </c>
    </row>
    <row r="32" spans="1:4">
      <c r="A32" t="str">
        <f>"comleg_posttrans"</f>
        <v>comleg_posttrans</v>
      </c>
      <c r="B32" t="str">
        <f>""</f>
        <v/>
      </c>
      <c r="C32" t="str">
        <f>""</f>
        <v/>
      </c>
      <c r="D32" t="str">
        <f>"0.119***"</f>
        <v>0.119***</v>
      </c>
    </row>
    <row r="33" spans="1:4">
      <c r="A33" t="str">
        <f>""</f>
        <v/>
      </c>
      <c r="B33" t="str">
        <f>""</f>
        <v/>
      </c>
      <c r="C33" t="str">
        <f>""</f>
        <v/>
      </c>
      <c r="D33" t="str">
        <f>"(0.0246)"</f>
        <v>(0.0246)</v>
      </c>
    </row>
    <row r="35" spans="1:4">
      <c r="A35" t="str">
        <f>"Constant"</f>
        <v>Constant</v>
      </c>
      <c r="B35" t="str">
        <f>"-18.31***"</f>
        <v>-18.31***</v>
      </c>
      <c r="C35" t="str">
        <f>"-20.06***"</f>
        <v>-20.06***</v>
      </c>
      <c r="D35" t="str">
        <f>"-19.76***"</f>
        <v>-19.76***</v>
      </c>
    </row>
    <row r="36" spans="1:4">
      <c r="A36" t="str">
        <f>""</f>
        <v/>
      </c>
      <c r="B36" t="str">
        <f>"(0.296)"</f>
        <v>(0.296)</v>
      </c>
      <c r="C36" t="str">
        <f>"(0.368)"</f>
        <v>(0.368)</v>
      </c>
      <c r="D36" t="str">
        <f>"(0.339)"</f>
        <v>(0.339)</v>
      </c>
    </row>
    <row r="38" spans="1:4">
      <c r="A38" t="str">
        <f>"Observations"</f>
        <v>Observations</v>
      </c>
      <c r="B38" t="str">
        <f>"162810"</f>
        <v>162810</v>
      </c>
      <c r="C38" t="str">
        <f>"162810"</f>
        <v>162810</v>
      </c>
      <c r="D38" t="str">
        <f>"162810"</f>
        <v>162810</v>
      </c>
    </row>
    <row r="39" spans="1:4">
      <c r="A39" t="str">
        <f>"R-squared"</f>
        <v>R-squared</v>
      </c>
      <c r="B39" t="str">
        <f>"0.671"</f>
        <v>0.671</v>
      </c>
      <c r="C39" t="str">
        <f>"0.698"</f>
        <v>0.698</v>
      </c>
      <c r="D39" t="str">
        <f>"0.750"</f>
        <v>0.750</v>
      </c>
    </row>
    <row r="40" spans="1:4">
      <c r="A40" t="str">
        <f>"AIC"</f>
        <v>AIC</v>
      </c>
      <c r="B40" t="str">
        <f>"8.68647e+13"</f>
        <v>8.68647e+13</v>
      </c>
      <c r="C40" t="str">
        <f>"8.43990e+13"</f>
        <v>8.43990e+13</v>
      </c>
      <c r="D40" t="str">
        <f>"7.85082e+13"</f>
        <v>7.85082e+13</v>
      </c>
    </row>
    <row r="42" spans="1:4">
      <c r="A42" t="str">
        <f>"Standard errors in parentheses"</f>
        <v>Standard errors in parentheses</v>
      </c>
    </row>
    <row r="43" spans="1:4">
      <c r="A43" t="s">
        <v>0</v>
      </c>
      <c r="B43" t="s">
        <v>1</v>
      </c>
      <c r="C43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9661-4C81-4DC5-84B1-F2CEDF132BC3}">
  <dimension ref="A2:F43"/>
  <sheetViews>
    <sheetView workbookViewId="0">
      <selection activeCell="F12" sqref="F12"/>
    </sheetView>
  </sheetViews>
  <sheetFormatPr defaultRowHeight="14.4"/>
  <cols>
    <col min="1" max="1" width="26.21875" bestFit="1" customWidth="1"/>
    <col min="2" max="2" width="9.5546875" bestFit="1" customWidth="1"/>
    <col min="3" max="3" width="11.21875" bestFit="1" customWidth="1"/>
    <col min="4" max="4" width="10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"ln (import)"</f>
        <v>ln (import)</v>
      </c>
      <c r="C3" t="str">
        <f>"ln (import)"</f>
        <v>ln (import)</v>
      </c>
      <c r="D3" t="str">
        <f>"ln (import)"</f>
        <v>ln (import)</v>
      </c>
    </row>
    <row r="5" spans="1:6">
      <c r="A5" t="str">
        <f>"ln (captial distance)"</f>
        <v>ln (captial distance)</v>
      </c>
      <c r="B5" t="str">
        <f>"-1.473***"</f>
        <v>-1.473***</v>
      </c>
      <c r="C5" t="str">
        <f>"-1.471***"</f>
        <v>-1.471***</v>
      </c>
      <c r="D5" t="str">
        <f>"-1.471***"</f>
        <v>-1.471***</v>
      </c>
    </row>
    <row r="6" spans="1:6">
      <c r="A6" t="str">
        <f>""</f>
        <v/>
      </c>
      <c r="B6" t="str">
        <f>"(0.0101)"</f>
        <v>(0.0101)</v>
      </c>
      <c r="C6" t="str">
        <f>"(0.0101)"</f>
        <v>(0.0101)</v>
      </c>
      <c r="D6" t="str">
        <f>"(0.0101)"</f>
        <v>(0.0101)</v>
      </c>
    </row>
    <row r="8" spans="1:6">
      <c r="A8" t="str">
        <f>"ln (country's GDP)"</f>
        <v>ln (country's GDP)</v>
      </c>
      <c r="B8" t="str">
        <f>"0.637***"</f>
        <v>0.637***</v>
      </c>
      <c r="C8" t="str">
        <f>"0.641***"</f>
        <v>0.641***</v>
      </c>
      <c r="D8" t="str">
        <f>"0.639***"</f>
        <v>0.639***</v>
      </c>
      <c r="F8" s="1" t="s">
        <v>4</v>
      </c>
    </row>
    <row r="9" spans="1:6">
      <c r="A9" t="str">
        <f>""</f>
        <v/>
      </c>
      <c r="B9" t="str">
        <f>"(0.0507)"</f>
        <v>(0.0507)</v>
      </c>
      <c r="C9" t="str">
        <f>"(0.0507)"</f>
        <v>(0.0507)</v>
      </c>
      <c r="D9" t="str">
        <f>"(0.0507)"</f>
        <v>(0.0507)</v>
      </c>
      <c r="F9" s="1" t="s">
        <v>10</v>
      </c>
    </row>
    <row r="10" spans="1:6">
      <c r="F10" s="1" t="s">
        <v>6</v>
      </c>
    </row>
    <row r="11" spans="1:6">
      <c r="A11" t="str">
        <f>"ln (partner's GDP)"</f>
        <v>ln (partner's GDP)</v>
      </c>
      <c r="B11" t="str">
        <f>"0.330***"</f>
        <v>0.330***</v>
      </c>
      <c r="C11" t="str">
        <f>"0.332***"</f>
        <v>0.332***</v>
      </c>
      <c r="D11" t="str">
        <f>"0.334***"</f>
        <v>0.334***</v>
      </c>
    </row>
    <row r="12" spans="1:6">
      <c r="A12" t="str">
        <f>""</f>
        <v/>
      </c>
      <c r="B12" t="str">
        <f>"(0.0549)"</f>
        <v>(0.0549)</v>
      </c>
      <c r="C12" t="str">
        <f>"(0.0549)"</f>
        <v>(0.0549)</v>
      </c>
      <c r="D12" t="str">
        <f>"(0.0549)"</f>
        <v>(0.0549)</v>
      </c>
    </row>
    <row r="14" spans="1:6">
      <c r="A14" t="str">
        <f>"RTA"</f>
        <v>RTA</v>
      </c>
      <c r="B14" t="str">
        <f>"0.470***"</f>
        <v>0.470***</v>
      </c>
      <c r="C14" t="str">
        <f>"0.469***"</f>
        <v>0.469***</v>
      </c>
      <c r="D14" t="str">
        <f>"0.469***"</f>
        <v>0.469***</v>
      </c>
    </row>
    <row r="15" spans="1:6">
      <c r="A15" t="str">
        <f>""</f>
        <v/>
      </c>
      <c r="B15" t="str">
        <f>"(0.0148)"</f>
        <v>(0.0148)</v>
      </c>
      <c r="C15" t="str">
        <f>"(0.0148)"</f>
        <v>(0.0148)</v>
      </c>
      <c r="D15" t="str">
        <f>"(0.0148)"</f>
        <v>(0.0148)</v>
      </c>
    </row>
    <row r="17" spans="1:4">
      <c r="A17" t="str">
        <f>"col45"</f>
        <v>col45</v>
      </c>
      <c r="B17" t="str">
        <f>"1.611***"</f>
        <v>1.611***</v>
      </c>
      <c r="C17" t="str">
        <f>"1.609***"</f>
        <v>1.609***</v>
      </c>
      <c r="D17" t="str">
        <f>"1.609***"</f>
        <v>1.609***</v>
      </c>
    </row>
    <row r="18" spans="1:4">
      <c r="A18" t="str">
        <f>""</f>
        <v/>
      </c>
      <c r="B18" t="str">
        <f>"(0.0531)"</f>
        <v>(0.0531)</v>
      </c>
      <c r="C18" t="str">
        <f>"(0.0531)"</f>
        <v>(0.0531)</v>
      </c>
      <c r="D18" t="str">
        <f>"(0.0531)"</f>
        <v>(0.0531)</v>
      </c>
    </row>
    <row r="20" spans="1:4">
      <c r="A20" t="str">
        <f>"Contiguity"</f>
        <v>Contiguity</v>
      </c>
      <c r="B20" t="str">
        <f>"0.471***"</f>
        <v>0.471***</v>
      </c>
      <c r="C20" t="str">
        <f>"0.468***"</f>
        <v>0.468***</v>
      </c>
      <c r="D20" t="str">
        <f>"0.468***"</f>
        <v>0.468***</v>
      </c>
    </row>
    <row r="21" spans="1:4">
      <c r="A21" t="str">
        <f>""</f>
        <v/>
      </c>
      <c r="B21" t="str">
        <f>"(0.0420)"</f>
        <v>(0.0420)</v>
      </c>
      <c r="C21" t="str">
        <f>"(0.0420)"</f>
        <v>(0.0420)</v>
      </c>
      <c r="D21" t="str">
        <f>"(0.0420)"</f>
        <v>(0.0420)</v>
      </c>
    </row>
    <row r="23" spans="1:4">
      <c r="A23" t="str">
        <f>"comleg_posttrans"</f>
        <v>comleg_posttrans</v>
      </c>
      <c r="B23" t="str">
        <f>"0.339***"</f>
        <v>0.339***</v>
      </c>
      <c r="C23" t="str">
        <f>"0.339***"</f>
        <v>0.339***</v>
      </c>
      <c r="D23" t="str">
        <f>"0.339***"</f>
        <v>0.339***</v>
      </c>
    </row>
    <row r="24" spans="1:4">
      <c r="A24" t="str">
        <f>""</f>
        <v/>
      </c>
      <c r="B24" t="str">
        <f>"(0.0129)"</f>
        <v>(0.0129)</v>
      </c>
      <c r="C24" t="str">
        <f>"(0.0129)"</f>
        <v>(0.0129)</v>
      </c>
      <c r="D24" t="str">
        <f>"(0.0129)"</f>
        <v>(0.0129)</v>
      </c>
    </row>
    <row r="26" spans="1:4">
      <c r="A26" t="str">
        <f>"BRI_ijt*ln(capital distance)"</f>
        <v>BRI_ijt*ln(capital distance)</v>
      </c>
      <c r="B26" t="str">
        <f>"0.0183***"</f>
        <v>0.0183***</v>
      </c>
      <c r="C26" t="str">
        <f>""</f>
        <v/>
      </c>
      <c r="D26" t="str">
        <f>""</f>
        <v/>
      </c>
    </row>
    <row r="27" spans="1:4">
      <c r="A27" t="str">
        <f>""</f>
        <v/>
      </c>
      <c r="B27" t="str">
        <f>"(0.00318)"</f>
        <v>(0.00318)</v>
      </c>
      <c r="C27" t="str">
        <f>""</f>
        <v/>
      </c>
      <c r="D27" t="str">
        <f>""</f>
        <v/>
      </c>
    </row>
    <row r="29" spans="1:4">
      <c r="A29" t="str">
        <f>"BRI_ijt*ln(country's GDP)"</f>
        <v>BRI_ijt*ln(country's GDP)</v>
      </c>
      <c r="B29" t="str">
        <f>""</f>
        <v/>
      </c>
      <c r="C29" t="str">
        <f>"0.00717***"</f>
        <v>0.00717***</v>
      </c>
      <c r="D29" t="str">
        <f>""</f>
        <v/>
      </c>
    </row>
    <row r="30" spans="1:4">
      <c r="A30" t="str">
        <f>""</f>
        <v/>
      </c>
      <c r="B30" t="str">
        <f>""</f>
        <v/>
      </c>
      <c r="C30" t="str">
        <f>"(0.00105)"</f>
        <v>(0.00105)</v>
      </c>
      <c r="D30" t="str">
        <f>""</f>
        <v/>
      </c>
    </row>
    <row r="32" spans="1:4">
      <c r="A32" t="str">
        <f>"BRI_ijt*ln(partner's GDP)"</f>
        <v>BRI_ijt*ln(partner's GDP)</v>
      </c>
      <c r="B32" t="str">
        <f>""</f>
        <v/>
      </c>
      <c r="C32" t="str">
        <f>""</f>
        <v/>
      </c>
      <c r="D32" t="str">
        <f>"0.00725***"</f>
        <v>0.00725***</v>
      </c>
    </row>
    <row r="33" spans="1:4">
      <c r="A33" t="str">
        <f>""</f>
        <v/>
      </c>
      <c r="B33" t="str">
        <f>""</f>
        <v/>
      </c>
      <c r="C33" t="str">
        <f>""</f>
        <v/>
      </c>
      <c r="D33" t="str">
        <f>"(0.00103)"</f>
        <v>(0.00103)</v>
      </c>
    </row>
    <row r="35" spans="1:4">
      <c r="A35" t="str">
        <f>"Constant"</f>
        <v>Constant</v>
      </c>
      <c r="B35" t="str">
        <f>"1.126"</f>
        <v>1.126</v>
      </c>
      <c r="C35" t="str">
        <f>"0.993"</f>
        <v>0.993</v>
      </c>
      <c r="D35" t="str">
        <f>"0.993"</f>
        <v>0.993</v>
      </c>
    </row>
    <row r="36" spans="1:4">
      <c r="A36" t="str">
        <f>""</f>
        <v/>
      </c>
      <c r="B36" t="str">
        <f>"(1.942)"</f>
        <v>(1.942)</v>
      </c>
      <c r="C36" t="str">
        <f>"(1.941)"</f>
        <v>(1.941)</v>
      </c>
      <c r="D36" t="str">
        <f>"(1.941)"</f>
        <v>(1.941)</v>
      </c>
    </row>
    <row r="38" spans="1:4">
      <c r="A38" t="str">
        <f>"Observations"</f>
        <v>Observations</v>
      </c>
      <c r="B38" t="str">
        <f>"112431"</f>
        <v>112431</v>
      </c>
      <c r="C38" t="str">
        <f>"112431"</f>
        <v>112431</v>
      </c>
      <c r="D38" t="str">
        <f>"112431"</f>
        <v>112431</v>
      </c>
    </row>
    <row r="39" spans="1:4">
      <c r="A39" t="str">
        <f>"R-squared"</f>
        <v>R-squared</v>
      </c>
      <c r="B39" t="str">
        <f>"0.768"</f>
        <v>0.768</v>
      </c>
      <c r="C39" t="str">
        <f>"0.768"</f>
        <v>0.768</v>
      </c>
      <c r="D39" t="str">
        <f>"0.768"</f>
        <v>0.768</v>
      </c>
    </row>
    <row r="40" spans="1:4">
      <c r="A40" t="str">
        <f>"AIC"</f>
        <v>AIC</v>
      </c>
      <c r="B40" t="str">
        <f>"452047.4"</f>
        <v>452047.4</v>
      </c>
      <c r="C40" t="str">
        <f>"452035.4"</f>
        <v>452035.4</v>
      </c>
      <c r="D40" t="str">
        <f>"452034.4"</f>
        <v>452034.4</v>
      </c>
    </row>
    <row r="42" spans="1:4">
      <c r="A42" t="str">
        <f>"Standard errors in parentheses"</f>
        <v>Standard errors in parentheses</v>
      </c>
    </row>
    <row r="43" spans="1:4">
      <c r="A43" t="s">
        <v>0</v>
      </c>
      <c r="B43" t="s">
        <v>1</v>
      </c>
      <c r="C43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D27E-26E6-4DFD-BC2F-AC32505E076A}">
  <dimension ref="A2:F43"/>
  <sheetViews>
    <sheetView workbookViewId="0">
      <selection activeCell="F12" sqref="F12"/>
    </sheetView>
  </sheetViews>
  <sheetFormatPr defaultRowHeight="14.4"/>
  <cols>
    <col min="1" max="1" width="26.21875" bestFit="1" customWidth="1"/>
    <col min="2" max="4" width="11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"Import"</f>
        <v>Import</v>
      </c>
      <c r="C3" t="str">
        <f>"Import"</f>
        <v>Import</v>
      </c>
      <c r="D3" t="str">
        <f>"Import"</f>
        <v>Import</v>
      </c>
    </row>
    <row r="5" spans="1:6">
      <c r="A5" t="str">
        <f>"ln (captial distance)"</f>
        <v>ln (captial distance)</v>
      </c>
      <c r="B5" t="str">
        <f>"-0.699***"</f>
        <v>-0.699***</v>
      </c>
      <c r="C5" t="str">
        <f>"-0.698***"</f>
        <v>-0.698***</v>
      </c>
      <c r="D5" t="str">
        <f>"-0.698***"</f>
        <v>-0.698***</v>
      </c>
    </row>
    <row r="6" spans="1:6">
      <c r="A6" t="str">
        <f>""</f>
        <v/>
      </c>
      <c r="B6" t="str">
        <f>"(0.0118)"</f>
        <v>(0.0118)</v>
      </c>
      <c r="C6" t="str">
        <f>"(0.0118)"</f>
        <v>(0.0118)</v>
      </c>
      <c r="D6" t="str">
        <f>"(0.0118)"</f>
        <v>(0.0118)</v>
      </c>
    </row>
    <row r="8" spans="1:6">
      <c r="A8" t="str">
        <f>"ln (country's GDP)"</f>
        <v>ln (country's GDP)</v>
      </c>
      <c r="B8" t="str">
        <f>"0.543***"</f>
        <v>0.543***</v>
      </c>
      <c r="C8" t="str">
        <f>"0.543***"</f>
        <v>0.543***</v>
      </c>
      <c r="D8" t="str">
        <f>"0.543***"</f>
        <v>0.543***</v>
      </c>
      <c r="F8" s="1" t="s">
        <v>4</v>
      </c>
    </row>
    <row r="9" spans="1:6">
      <c r="A9" t="str">
        <f>""</f>
        <v/>
      </c>
      <c r="B9" t="str">
        <f>"(0.0800)"</f>
        <v>(0.0800)</v>
      </c>
      <c r="C9" t="str">
        <f>"(0.0801)"</f>
        <v>(0.0801)</v>
      </c>
      <c r="D9" t="str">
        <f>"(0.0800)"</f>
        <v>(0.0800)</v>
      </c>
      <c r="F9" s="1" t="s">
        <v>10</v>
      </c>
    </row>
    <row r="10" spans="1:6">
      <c r="F10" s="1" t="s">
        <v>5</v>
      </c>
    </row>
    <row r="11" spans="1:6">
      <c r="A11" t="str">
        <f>"ln (partner's GDP)"</f>
        <v>ln (partner's GDP)</v>
      </c>
      <c r="B11" t="str">
        <f>"0.556***"</f>
        <v>0.556***</v>
      </c>
      <c r="C11" t="str">
        <f>"0.556***"</f>
        <v>0.556***</v>
      </c>
      <c r="D11" t="str">
        <f>"0.556***"</f>
        <v>0.556***</v>
      </c>
    </row>
    <row r="12" spans="1:6">
      <c r="A12" t="str">
        <f>""</f>
        <v/>
      </c>
      <c r="B12" t="str">
        <f>"(0.0749)"</f>
        <v>(0.0749)</v>
      </c>
      <c r="C12" t="str">
        <f>"(0.0749)"</f>
        <v>(0.0749)</v>
      </c>
      <c r="D12" t="str">
        <f>"(0.0749)"</f>
        <v>(0.0749)</v>
      </c>
    </row>
    <row r="14" spans="1:6">
      <c r="A14" t="str">
        <f>"RTA"</f>
        <v>RTA</v>
      </c>
      <c r="B14" t="str">
        <f>"0.386***"</f>
        <v>0.386***</v>
      </c>
      <c r="C14" t="str">
        <f>"0.386***"</f>
        <v>0.386***</v>
      </c>
      <c r="D14" t="str">
        <f>"0.386***"</f>
        <v>0.386***</v>
      </c>
    </row>
    <row r="15" spans="1:6">
      <c r="A15" t="str">
        <f>""</f>
        <v/>
      </c>
      <c r="B15" t="str">
        <f>"(0.0238)"</f>
        <v>(0.0238)</v>
      </c>
      <c r="C15" t="str">
        <f>"(0.0238)"</f>
        <v>(0.0238)</v>
      </c>
      <c r="D15" t="str">
        <f>"(0.0238)"</f>
        <v>(0.0238)</v>
      </c>
    </row>
    <row r="17" spans="1:4">
      <c r="A17" t="str">
        <f>"col45"</f>
        <v>col45</v>
      </c>
      <c r="B17" t="str">
        <f>"0.182***"</f>
        <v>0.182***</v>
      </c>
      <c r="C17" t="str">
        <f>"0.181***"</f>
        <v>0.181***</v>
      </c>
      <c r="D17" t="str">
        <f>"0.181***"</f>
        <v>0.181***</v>
      </c>
    </row>
    <row r="18" spans="1:4">
      <c r="A18" t="str">
        <f>""</f>
        <v/>
      </c>
      <c r="B18" t="str">
        <f>"(0.0632)"</f>
        <v>(0.0632)</v>
      </c>
      <c r="C18" t="str">
        <f>"(0.0631)"</f>
        <v>(0.0631)</v>
      </c>
      <c r="D18" t="str">
        <f>"(0.0631)"</f>
        <v>(0.0631)</v>
      </c>
    </row>
    <row r="20" spans="1:4">
      <c r="A20" t="str">
        <f>"Contiguity"</f>
        <v>Contiguity</v>
      </c>
      <c r="B20" t="str">
        <f>"0.465***"</f>
        <v>0.465***</v>
      </c>
      <c r="C20" t="str">
        <f>"0.464***"</f>
        <v>0.464***</v>
      </c>
      <c r="D20" t="str">
        <f>"0.464***"</f>
        <v>0.464***</v>
      </c>
    </row>
    <row r="21" spans="1:4">
      <c r="A21" t="str">
        <f>""</f>
        <v/>
      </c>
      <c r="B21" t="str">
        <f>"(0.0231)"</f>
        <v>(0.0231)</v>
      </c>
      <c r="C21" t="str">
        <f>"(0.0231)"</f>
        <v>(0.0231)</v>
      </c>
      <c r="D21" t="str">
        <f>"(0.0231)"</f>
        <v>(0.0231)</v>
      </c>
    </row>
    <row r="23" spans="1:4">
      <c r="A23" t="str">
        <f>"comleg_posttrans"</f>
        <v>comleg_posttrans</v>
      </c>
      <c r="B23" t="str">
        <f>"0.149***"</f>
        <v>0.149***</v>
      </c>
      <c r="C23" t="str">
        <f>"0.150***"</f>
        <v>0.150***</v>
      </c>
      <c r="D23" t="str">
        <f>"0.150***"</f>
        <v>0.150***</v>
      </c>
    </row>
    <row r="24" spans="1:4">
      <c r="A24" t="str">
        <f>""</f>
        <v/>
      </c>
      <c r="B24" t="str">
        <f>"(0.0133)"</f>
        <v>(0.0133)</v>
      </c>
      <c r="C24" t="str">
        <f>"(0.0133)"</f>
        <v>(0.0133)</v>
      </c>
      <c r="D24" t="str">
        <f>"(0.0133)"</f>
        <v>(0.0133)</v>
      </c>
    </row>
    <row r="26" spans="1:4">
      <c r="A26" t="str">
        <f>"BRI_ijt*ln(capital distance)"</f>
        <v>BRI_ijt*ln(capital distance)</v>
      </c>
      <c r="B26" t="str">
        <f>"0.0168***"</f>
        <v>0.0168***</v>
      </c>
      <c r="C26" t="str">
        <f>""</f>
        <v/>
      </c>
      <c r="D26" t="str">
        <f>""</f>
        <v/>
      </c>
    </row>
    <row r="27" spans="1:4">
      <c r="A27" t="str">
        <f>""</f>
        <v/>
      </c>
      <c r="B27" t="str">
        <f>"(0.00512)"</f>
        <v>(0.00512)</v>
      </c>
      <c r="C27" t="str">
        <f>""</f>
        <v/>
      </c>
      <c r="D27" t="str">
        <f>""</f>
        <v/>
      </c>
    </row>
    <row r="29" spans="1:4">
      <c r="A29" t="str">
        <f>"BRI_ijt*ln(country's GDP)"</f>
        <v>BRI_ijt*ln(country's GDP)</v>
      </c>
      <c r="B29" t="str">
        <f>""</f>
        <v/>
      </c>
      <c r="C29" t="str">
        <f>"0.00526***"</f>
        <v>0.00526***</v>
      </c>
      <c r="D29" t="str">
        <f>""</f>
        <v/>
      </c>
    </row>
    <row r="30" spans="1:4">
      <c r="A30" t="str">
        <f>""</f>
        <v/>
      </c>
      <c r="B30" t="str">
        <f>""</f>
        <v/>
      </c>
      <c r="C30" t="str">
        <f>"(0.00163)"</f>
        <v>(0.00163)</v>
      </c>
      <c r="D30" t="str">
        <f>""</f>
        <v/>
      </c>
    </row>
    <row r="32" spans="1:4">
      <c r="A32" t="str">
        <f>"BRI_ijt*ln(partner's GDP)"</f>
        <v>BRI_ijt*ln(partner's GDP)</v>
      </c>
      <c r="B32" t="str">
        <f>""</f>
        <v/>
      </c>
      <c r="C32" t="str">
        <f>""</f>
        <v/>
      </c>
      <c r="D32" t="str">
        <f>"0.00553***"</f>
        <v>0.00553***</v>
      </c>
    </row>
    <row r="33" spans="1:4">
      <c r="A33" t="str">
        <f>""</f>
        <v/>
      </c>
      <c r="B33" t="str">
        <f>""</f>
        <v/>
      </c>
      <c r="C33" t="str">
        <f>""</f>
        <v/>
      </c>
      <c r="D33" t="str">
        <f>"(0.00163)"</f>
        <v>(0.00163)</v>
      </c>
    </row>
    <row r="35" spans="1:4">
      <c r="A35" t="str">
        <f>"Constant"</f>
        <v>Constant</v>
      </c>
      <c r="B35" t="str">
        <f>"-2.452"</f>
        <v>-2.452</v>
      </c>
      <c r="C35" t="str">
        <f>"-2.460"</f>
        <v>-2.460</v>
      </c>
      <c r="D35" t="str">
        <f>"-2.458"</f>
        <v>-2.458</v>
      </c>
    </row>
    <row r="36" spans="1:4">
      <c r="A36" t="str">
        <f>""</f>
        <v/>
      </c>
      <c r="B36" t="str">
        <f>"(2.857)"</f>
        <v>(2.857)</v>
      </c>
      <c r="C36" t="str">
        <f>"(2.857)"</f>
        <v>(2.857)</v>
      </c>
      <c r="D36" t="str">
        <f>"(2.857)"</f>
        <v>(2.857)</v>
      </c>
    </row>
    <row r="38" spans="1:4">
      <c r="A38" t="str">
        <f>"Observations"</f>
        <v>Observations</v>
      </c>
      <c r="B38" t="str">
        <f>"162810"</f>
        <v>162810</v>
      </c>
      <c r="C38" t="str">
        <f>"162810"</f>
        <v>162810</v>
      </c>
      <c r="D38" t="str">
        <f>"162810"</f>
        <v>162810</v>
      </c>
    </row>
    <row r="39" spans="1:4">
      <c r="A39" t="str">
        <f>"Pseudo R-squared"</f>
        <v>Pseudo R-squared</v>
      </c>
      <c r="B39" t="str">
        <f>"0.933"</f>
        <v>0.933</v>
      </c>
      <c r="C39" t="str">
        <f>"0.933"</f>
        <v>0.933</v>
      </c>
      <c r="D39" t="str">
        <f>"0.933"</f>
        <v>0.933</v>
      </c>
    </row>
    <row r="40" spans="1:4">
      <c r="A40" t="str">
        <f>"AIC"</f>
        <v>AIC</v>
      </c>
      <c r="B40" t="str">
        <f>"4.32683e+13"</f>
        <v>4.32683e+13</v>
      </c>
      <c r="C40" t="str">
        <f>"4.32617e+13"</f>
        <v>4.32617e+13</v>
      </c>
      <c r="D40" t="str">
        <f>"4.32563e+13"</f>
        <v>4.32563e+13</v>
      </c>
    </row>
    <row r="42" spans="1:4">
      <c r="A42" t="str">
        <f>"Standard errors in parentheses"</f>
        <v>Standard errors in parentheses</v>
      </c>
    </row>
    <row r="43" spans="1:4">
      <c r="A43" t="s">
        <v>0</v>
      </c>
      <c r="B43" t="s">
        <v>1</v>
      </c>
      <c r="C43" t="s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AE54-03DC-4BB5-86C4-E627255225C4}">
  <dimension ref="A2:F43"/>
  <sheetViews>
    <sheetView workbookViewId="0">
      <selection activeCell="F12" sqref="F12"/>
    </sheetView>
  </sheetViews>
  <sheetFormatPr defaultRowHeight="14.4"/>
  <cols>
    <col min="1" max="1" width="26.21875" bestFit="1" customWidth="1"/>
    <col min="3" max="4" width="11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"Import"</f>
        <v>Import</v>
      </c>
      <c r="C3" t="str">
        <f>"Import"</f>
        <v>Import</v>
      </c>
      <c r="D3" t="str">
        <f>"Import"</f>
        <v>Import</v>
      </c>
    </row>
    <row r="5" spans="1:6">
      <c r="A5" t="str">
        <f>"ln (captial distance)"</f>
        <v>ln (captial distance)</v>
      </c>
      <c r="B5" t="str">
        <f>"-0.560***"</f>
        <v>-0.560***</v>
      </c>
      <c r="C5" t="str">
        <f>"-0.559***"</f>
        <v>-0.559***</v>
      </c>
      <c r="D5" t="str">
        <f>"-0.559***"</f>
        <v>-0.559***</v>
      </c>
    </row>
    <row r="6" spans="1:6">
      <c r="A6" t="str">
        <f>""</f>
        <v/>
      </c>
      <c r="B6" t="str">
        <f>"(0.0157)"</f>
        <v>(0.0157)</v>
      </c>
      <c r="C6" t="str">
        <f>"(0.0157)"</f>
        <v>(0.0157)</v>
      </c>
      <c r="D6" t="str">
        <f>"(0.0157)"</f>
        <v>(0.0157)</v>
      </c>
    </row>
    <row r="8" spans="1:6">
      <c r="A8" t="str">
        <f>"ln (country's GDP)"</f>
        <v>ln (country's GDP)</v>
      </c>
      <c r="B8" t="str">
        <f>"0.821***"</f>
        <v>0.821***</v>
      </c>
      <c r="C8" t="str">
        <f>"0.822***"</f>
        <v>0.822***</v>
      </c>
      <c r="D8" t="str">
        <f>"0.822***"</f>
        <v>0.822***</v>
      </c>
      <c r="F8" s="1" t="s">
        <v>4</v>
      </c>
    </row>
    <row r="9" spans="1:6">
      <c r="A9" t="str">
        <f>""</f>
        <v/>
      </c>
      <c r="B9" t="str">
        <f>"(0.00681)"</f>
        <v>(0.00681)</v>
      </c>
      <c r="C9" t="str">
        <f>"(0.00680)"</f>
        <v>(0.00680)</v>
      </c>
      <c r="D9" t="str">
        <f>"(0.00681)"</f>
        <v>(0.00681)</v>
      </c>
      <c r="F9" s="1" t="s">
        <v>10</v>
      </c>
    </row>
    <row r="10" spans="1:6">
      <c r="F10" s="1" t="s">
        <v>3</v>
      </c>
    </row>
    <row r="11" spans="1:6">
      <c r="A11" t="str">
        <f>"ln (partner's GDP)"</f>
        <v>ln (partner's GDP)</v>
      </c>
      <c r="B11" t="str">
        <f>"0.800***"</f>
        <v>0.800***</v>
      </c>
      <c r="C11" t="str">
        <f>"0.800***"</f>
        <v>0.800***</v>
      </c>
      <c r="D11" t="str">
        <f>"0.800***"</f>
        <v>0.800***</v>
      </c>
    </row>
    <row r="12" spans="1:6">
      <c r="A12" t="str">
        <f>""</f>
        <v/>
      </c>
      <c r="B12" t="str">
        <f>"(0.00620)"</f>
        <v>(0.00620)</v>
      </c>
      <c r="C12" t="str">
        <f>"(0.00620)"</f>
        <v>(0.00620)</v>
      </c>
      <c r="D12" t="str">
        <f>"(0.00619)"</f>
        <v>(0.00619)</v>
      </c>
    </row>
    <row r="14" spans="1:6">
      <c r="A14" t="str">
        <f>"RTA"</f>
        <v>RTA</v>
      </c>
      <c r="B14" t="str">
        <f>"0.344***"</f>
        <v>0.344***</v>
      </c>
      <c r="C14" t="str">
        <f>"0.346***"</f>
        <v>0.346***</v>
      </c>
      <c r="D14" t="str">
        <f>"0.346***"</f>
        <v>0.346***</v>
      </c>
    </row>
    <row r="15" spans="1:6">
      <c r="A15" t="str">
        <f>""</f>
        <v/>
      </c>
      <c r="B15" t="str">
        <f>"(0.0245)"</f>
        <v>(0.0245)</v>
      </c>
      <c r="C15" t="str">
        <f>"(0.0245)"</f>
        <v>(0.0245)</v>
      </c>
      <c r="D15" t="str">
        <f>"(0.0245)"</f>
        <v>(0.0245)</v>
      </c>
    </row>
    <row r="17" spans="1:4">
      <c r="A17" t="str">
        <f>"col45"</f>
        <v>col45</v>
      </c>
      <c r="B17" t="str">
        <f>"0.349***"</f>
        <v>0.349***</v>
      </c>
      <c r="C17" t="str">
        <f>"0.344***"</f>
        <v>0.344***</v>
      </c>
      <c r="D17" t="str">
        <f>"0.343***"</f>
        <v>0.343***</v>
      </c>
    </row>
    <row r="18" spans="1:4">
      <c r="A18" t="str">
        <f>""</f>
        <v/>
      </c>
      <c r="B18" t="str">
        <f>"(0.0413)"</f>
        <v>(0.0413)</v>
      </c>
      <c r="C18" t="str">
        <f>"(0.0412)"</f>
        <v>(0.0412)</v>
      </c>
      <c r="D18" t="str">
        <f>"(0.0411)"</f>
        <v>(0.0411)</v>
      </c>
    </row>
    <row r="20" spans="1:4">
      <c r="A20" t="str">
        <f>"Contiguity"</f>
        <v>Contiguity</v>
      </c>
      <c r="B20" t="str">
        <f>"0.628***"</f>
        <v>0.628***</v>
      </c>
      <c r="C20" t="str">
        <f>"0.626***"</f>
        <v>0.626***</v>
      </c>
      <c r="D20" t="str">
        <f>"0.626***"</f>
        <v>0.626***</v>
      </c>
    </row>
    <row r="21" spans="1:4">
      <c r="A21" t="str">
        <f>""</f>
        <v/>
      </c>
      <c r="B21" t="str">
        <f>"(0.0466)"</f>
        <v>(0.0466)</v>
      </c>
      <c r="C21" t="str">
        <f>"(0.0466)"</f>
        <v>(0.0466)</v>
      </c>
      <c r="D21" t="str">
        <f>"(0.0466)"</f>
        <v>(0.0466)</v>
      </c>
    </row>
    <row r="23" spans="1:4">
      <c r="A23" t="str">
        <f>"comleg_posttrans"</f>
        <v>comleg_posttrans</v>
      </c>
      <c r="B23" t="str">
        <f>"0.132***"</f>
        <v>0.132***</v>
      </c>
      <c r="C23" t="str">
        <f>"0.132***"</f>
        <v>0.132***</v>
      </c>
      <c r="D23" t="str">
        <f>"0.132***"</f>
        <v>0.132***</v>
      </c>
    </row>
    <row r="24" spans="1:4">
      <c r="A24" t="str">
        <f>""</f>
        <v/>
      </c>
      <c r="B24" t="str">
        <f>"(0.0248)"</f>
        <v>(0.0248)</v>
      </c>
      <c r="C24" t="str">
        <f>"(0.0247)"</f>
        <v>(0.0247)</v>
      </c>
      <c r="D24" t="str">
        <f>"(0.0247)"</f>
        <v>(0.0247)</v>
      </c>
    </row>
    <row r="26" spans="1:4">
      <c r="A26" t="str">
        <f>"BRI_ijt*ln(capital distance)"</f>
        <v>BRI_ijt*ln(capital distance)</v>
      </c>
      <c r="B26" t="str">
        <f>"0.0449***"</f>
        <v>0.0449***</v>
      </c>
      <c r="C26" t="str">
        <f>""</f>
        <v/>
      </c>
      <c r="D26" t="str">
        <f>""</f>
        <v/>
      </c>
    </row>
    <row r="27" spans="1:4">
      <c r="A27" t="str">
        <f>""</f>
        <v/>
      </c>
      <c r="B27" t="str">
        <f>"(0.00510)"</f>
        <v>(0.00510)</v>
      </c>
      <c r="C27" t="str">
        <f>""</f>
        <v/>
      </c>
      <c r="D27" t="str">
        <f>""</f>
        <v/>
      </c>
    </row>
    <row r="29" spans="1:4">
      <c r="A29" t="str">
        <f>"BRI_ijt*ln(country's GDP)"</f>
        <v>BRI_ijt*ln(country's GDP)</v>
      </c>
      <c r="B29" t="str">
        <f>""</f>
        <v/>
      </c>
      <c r="C29" t="str">
        <f>"0.0143***"</f>
        <v>0.0143***</v>
      </c>
      <c r="D29" t="str">
        <f>""</f>
        <v/>
      </c>
    </row>
    <row r="30" spans="1:4">
      <c r="A30" t="str">
        <f>""</f>
        <v/>
      </c>
      <c r="B30" t="str">
        <f>""</f>
        <v/>
      </c>
      <c r="C30" t="str">
        <f>"(0.00154)"</f>
        <v>(0.00154)</v>
      </c>
      <c r="D30" t="str">
        <f>""</f>
        <v/>
      </c>
    </row>
    <row r="32" spans="1:4">
      <c r="A32" t="str">
        <f>"BRI_ijt*ln(partner's GDP)"</f>
        <v>BRI_ijt*ln(partner's GDP)</v>
      </c>
      <c r="B32" t="str">
        <f>""</f>
        <v/>
      </c>
      <c r="C32" t="str">
        <f>""</f>
        <v/>
      </c>
      <c r="D32" t="str">
        <f>"0.0148***"</f>
        <v>0.0148***</v>
      </c>
    </row>
    <row r="33" spans="1:4">
      <c r="A33" t="str">
        <f>""</f>
        <v/>
      </c>
      <c r="B33" t="str">
        <f>""</f>
        <v/>
      </c>
      <c r="C33" t="str">
        <f>""</f>
        <v/>
      </c>
      <c r="D33" t="str">
        <f>"(0.00155)"</f>
        <v>(0.00155)</v>
      </c>
    </row>
    <row r="35" spans="1:4">
      <c r="A35" t="str">
        <f>"Constant"</f>
        <v>Constant</v>
      </c>
      <c r="B35" t="str">
        <f>"-18.29***"</f>
        <v>-18.29***</v>
      </c>
      <c r="C35" t="str">
        <f>"-18.33***"</f>
        <v>-18.33***</v>
      </c>
      <c r="D35" t="str">
        <f>"-18.34***"</f>
        <v>-18.34***</v>
      </c>
    </row>
    <row r="36" spans="1:4">
      <c r="A36" t="str">
        <f>""</f>
        <v/>
      </c>
      <c r="B36" t="str">
        <f>"(0.308)"</f>
        <v>(0.308)</v>
      </c>
      <c r="C36" t="str">
        <f>"(0.308)"</f>
        <v>(0.308)</v>
      </c>
      <c r="D36" t="str">
        <f>"(0.308)"</f>
        <v>(0.308)</v>
      </c>
    </row>
    <row r="38" spans="1:4">
      <c r="A38" t="str">
        <f>"Observations"</f>
        <v>Observations</v>
      </c>
      <c r="B38" t="str">
        <f>"162810"</f>
        <v>162810</v>
      </c>
      <c r="C38" t="str">
        <f>"162810"</f>
        <v>162810</v>
      </c>
      <c r="D38" t="str">
        <f>"162810"</f>
        <v>162810</v>
      </c>
    </row>
    <row r="39" spans="1:4">
      <c r="A39" t="str">
        <f>"R-squared"</f>
        <v>R-squared</v>
      </c>
      <c r="B39" t="str">
        <f>"0.755"</f>
        <v>0.755</v>
      </c>
      <c r="C39" t="str">
        <f>"0.755"</f>
        <v>0.755</v>
      </c>
      <c r="D39" t="str">
        <f>"0.755"</f>
        <v>0.755</v>
      </c>
    </row>
    <row r="40" spans="1:4">
      <c r="A40" t="str">
        <f>"AIC"</f>
        <v>AIC</v>
      </c>
      <c r="B40" t="str">
        <f>"7.95329e+13"</f>
        <v>7.95329e+13</v>
      </c>
      <c r="C40" t="str">
        <f>"7.94727e+13"</f>
        <v>7.94727e+13</v>
      </c>
      <c r="D40" t="str">
        <f>"7.94442e+13"</f>
        <v>7.94442e+13</v>
      </c>
    </row>
    <row r="42" spans="1:4">
      <c r="A42" t="str">
        <f>"Standard errors in parentheses"</f>
        <v>Standard errors in parentheses</v>
      </c>
    </row>
    <row r="43" spans="1:4">
      <c r="A43" t="s">
        <v>0</v>
      </c>
      <c r="B43" t="s">
        <v>1</v>
      </c>
      <c r="C43" t="s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44CC-2288-4281-BC3A-5F3C8EC4E03E}">
  <dimension ref="A2:F43"/>
  <sheetViews>
    <sheetView workbookViewId="0">
      <selection activeCell="F10" sqref="F10"/>
    </sheetView>
  </sheetViews>
  <sheetFormatPr defaultRowHeight="14.4"/>
  <cols>
    <col min="1" max="1" width="26.21875" bestFit="1" customWidth="1"/>
    <col min="2" max="2" width="10.21875" bestFit="1" customWidth="1"/>
    <col min="3" max="4" width="11.21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"ln (import)"</f>
        <v>ln (import)</v>
      </c>
      <c r="C3" t="str">
        <f>"ln (import)"</f>
        <v>ln (import)</v>
      </c>
      <c r="D3" t="str">
        <f>"ln (import)"</f>
        <v>ln (import)</v>
      </c>
    </row>
    <row r="5" spans="1:6">
      <c r="A5" t="str">
        <f>"ln (captial distance)"</f>
        <v>ln (captial distance)</v>
      </c>
      <c r="B5" t="str">
        <f>"-1.464***"</f>
        <v>-1.464***</v>
      </c>
      <c r="C5" t="str">
        <f>"-1.473***"</f>
        <v>-1.473***</v>
      </c>
      <c r="D5" t="str">
        <f>"-1.473***"</f>
        <v>-1.473***</v>
      </c>
    </row>
    <row r="6" spans="1:6">
      <c r="A6" t="str">
        <f>""</f>
        <v/>
      </c>
      <c r="B6" t="str">
        <f>"(0.0101)"</f>
        <v>(0.0101)</v>
      </c>
      <c r="C6" t="str">
        <f>"(0.0101)"</f>
        <v>(0.0101)</v>
      </c>
      <c r="D6" t="str">
        <f>"(0.0101)"</f>
        <v>(0.0101)</v>
      </c>
    </row>
    <row r="8" spans="1:6">
      <c r="A8" t="str">
        <f>"ln (country's GDP)"</f>
        <v>ln (country's GDP)</v>
      </c>
      <c r="B8" t="str">
        <f>"0.638***"</f>
        <v>0.638***</v>
      </c>
      <c r="C8" t="str">
        <f>"0.639***"</f>
        <v>0.639***</v>
      </c>
      <c r="D8" t="str">
        <f>"0.638***"</f>
        <v>0.638***</v>
      </c>
      <c r="F8" s="1" t="s">
        <v>4</v>
      </c>
    </row>
    <row r="9" spans="1:6">
      <c r="A9" t="str">
        <f>""</f>
        <v/>
      </c>
      <c r="B9" t="str">
        <f>"(0.0507)"</f>
        <v>(0.0507)</v>
      </c>
      <c r="C9" t="str">
        <f>"(0.0507)"</f>
        <v>(0.0507)</v>
      </c>
      <c r="D9" t="str">
        <f>"(0.0507)"</f>
        <v>(0.0507)</v>
      </c>
      <c r="F9" s="1" t="s">
        <v>14</v>
      </c>
    </row>
    <row r="10" spans="1:6">
      <c r="F10" s="1" t="s">
        <v>6</v>
      </c>
    </row>
    <row r="11" spans="1:6">
      <c r="A11" t="str">
        <f>"ln (partner's GDP)"</f>
        <v>ln (partner's GDP)</v>
      </c>
      <c r="B11" t="str">
        <f>"0.332***"</f>
        <v>0.332***</v>
      </c>
      <c r="C11" t="str">
        <f>"0.332***"</f>
        <v>0.332***</v>
      </c>
      <c r="D11" t="str">
        <f>"0.333***"</f>
        <v>0.333***</v>
      </c>
    </row>
    <row r="12" spans="1:6">
      <c r="A12" t="str">
        <f>""</f>
        <v/>
      </c>
      <c r="B12" t="str">
        <f>"(0.0549)"</f>
        <v>(0.0549)</v>
      </c>
      <c r="C12" t="str">
        <f>"(0.0549)"</f>
        <v>(0.0549)</v>
      </c>
      <c r="D12" t="str">
        <f>"(0.0549)"</f>
        <v>(0.0549)</v>
      </c>
    </row>
    <row r="14" spans="1:6">
      <c r="A14" t="str">
        <f>"RTA"</f>
        <v>RTA</v>
      </c>
      <c r="B14" t="str">
        <f>"0.470***"</f>
        <v>0.470***</v>
      </c>
      <c r="C14" t="str">
        <f>"0.470***"</f>
        <v>0.470***</v>
      </c>
      <c r="D14" t="str">
        <f>"0.470***"</f>
        <v>0.470***</v>
      </c>
    </row>
    <row r="15" spans="1:6">
      <c r="A15" t="str">
        <f>""</f>
        <v/>
      </c>
      <c r="B15" t="str">
        <f>"(0.0148)"</f>
        <v>(0.0148)</v>
      </c>
      <c r="C15" t="str">
        <f>"(0.0148)"</f>
        <v>(0.0148)</v>
      </c>
      <c r="D15" t="str">
        <f>"(0.0148)"</f>
        <v>(0.0148)</v>
      </c>
    </row>
    <row r="17" spans="1:4">
      <c r="A17" t="str">
        <f>"col45"</f>
        <v>col45</v>
      </c>
      <c r="B17" t="str">
        <f>"1.605***"</f>
        <v>1.605***</v>
      </c>
      <c r="C17" t="str">
        <f>"1.613***"</f>
        <v>1.613***</v>
      </c>
      <c r="D17" t="str">
        <f>"1.613***"</f>
        <v>1.613***</v>
      </c>
    </row>
    <row r="18" spans="1:4">
      <c r="A18" t="str">
        <f>""</f>
        <v/>
      </c>
      <c r="B18" t="str">
        <f>"(0.0533)"</f>
        <v>(0.0533)</v>
      </c>
      <c r="C18" t="str">
        <f>"(0.0531)"</f>
        <v>(0.0531)</v>
      </c>
      <c r="D18" t="str">
        <f>"(0.0532)"</f>
        <v>(0.0532)</v>
      </c>
    </row>
    <row r="20" spans="1:4">
      <c r="A20" t="str">
        <f>"Contiguity"</f>
        <v>Contiguity</v>
      </c>
      <c r="B20" t="str">
        <f>"0.479***"</f>
        <v>0.479***</v>
      </c>
      <c r="C20" t="str">
        <f>"0.477***"</f>
        <v>0.477***</v>
      </c>
      <c r="D20" t="str">
        <f>"0.477***"</f>
        <v>0.477***</v>
      </c>
    </row>
    <row r="21" spans="1:4">
      <c r="A21" t="str">
        <f>""</f>
        <v/>
      </c>
      <c r="B21" t="str">
        <f>"(0.0418)"</f>
        <v>(0.0418)</v>
      </c>
      <c r="C21" t="str">
        <f>"(0.0420)"</f>
        <v>(0.0420)</v>
      </c>
      <c r="D21" t="str">
        <f>"(0.0420)"</f>
        <v>(0.0420)</v>
      </c>
    </row>
    <row r="23" spans="1:4">
      <c r="A23" t="str">
        <f>"comleg_posttrans"</f>
        <v>comleg_posttrans</v>
      </c>
      <c r="B23" t="str">
        <f>"0.339***"</f>
        <v>0.339***</v>
      </c>
      <c r="C23" t="str">
        <f>"0.339***"</f>
        <v>0.339***</v>
      </c>
      <c r="D23" t="str">
        <f>"0.339***"</f>
        <v>0.339***</v>
      </c>
    </row>
    <row r="24" spans="1:4">
      <c r="A24" t="str">
        <f>""</f>
        <v/>
      </c>
      <c r="B24" t="str">
        <f>"(0.0129)"</f>
        <v>(0.0129)</v>
      </c>
      <c r="C24" t="str">
        <f>"(0.0129)"</f>
        <v>(0.0129)</v>
      </c>
      <c r="D24" t="str">
        <f>"(0.0129)"</f>
        <v>(0.0129)</v>
      </c>
    </row>
    <row r="26" spans="1:4">
      <c r="A26" t="str">
        <f>"BRI_ij*ln(capital distance)"</f>
        <v>BRI_ij*ln(capital distance)</v>
      </c>
      <c r="B26" t="str">
        <f>"-0.0240***"</f>
        <v>-0.0240***</v>
      </c>
      <c r="C26" t="str">
        <f>""</f>
        <v/>
      </c>
      <c r="D26" t="str">
        <f>""</f>
        <v/>
      </c>
    </row>
    <row r="27" spans="1:4">
      <c r="A27" t="str">
        <f>""</f>
        <v/>
      </c>
      <c r="B27" t="str">
        <f>"(0.00270)"</f>
        <v>(0.00270)</v>
      </c>
      <c r="C27" t="str">
        <f>""</f>
        <v/>
      </c>
      <c r="D27" t="str">
        <f>""</f>
        <v/>
      </c>
    </row>
    <row r="29" spans="1:4">
      <c r="A29" t="str">
        <f>"BRI_ij*ln(country's GDP)"</f>
        <v>BRI_ij*ln(country's GDP)</v>
      </c>
      <c r="B29" t="str">
        <f>""</f>
        <v/>
      </c>
      <c r="C29" t="str">
        <f>"-0.00203**"</f>
        <v>-0.00203**</v>
      </c>
      <c r="D29" t="str">
        <f>""</f>
        <v/>
      </c>
    </row>
    <row r="30" spans="1:4">
      <c r="A30" t="str">
        <f>""</f>
        <v/>
      </c>
      <c r="B30" t="str">
        <f>""</f>
        <v/>
      </c>
      <c r="C30" t="str">
        <f>"(0.000936)"</f>
        <v>(0.000936)</v>
      </c>
      <c r="D30" t="str">
        <f>""</f>
        <v/>
      </c>
    </row>
    <row r="32" spans="1:4">
      <c r="A32" t="str">
        <f>"BRI_ij*ln(partner's GDP)"</f>
        <v>BRI_ij*ln(partner's GDP)</v>
      </c>
      <c r="B32" t="str">
        <f>""</f>
        <v/>
      </c>
      <c r="C32" t="str">
        <f>""</f>
        <v/>
      </c>
      <c r="D32" t="str">
        <f>"-0.00240***"</f>
        <v>-0.00240***</v>
      </c>
    </row>
    <row r="33" spans="1:4">
      <c r="A33" t="str">
        <f>""</f>
        <v/>
      </c>
      <c r="B33" t="str">
        <f>""</f>
        <v/>
      </c>
      <c r="C33" t="str">
        <f>""</f>
        <v/>
      </c>
      <c r="D33" t="str">
        <f>"(0.000909)"</f>
        <v>(0.000909)</v>
      </c>
    </row>
    <row r="35" spans="1:4">
      <c r="A35" t="str">
        <f>"Constant"</f>
        <v>Constant</v>
      </c>
      <c r="B35" t="str">
        <f>"1.195"</f>
        <v>1.195</v>
      </c>
      <c r="C35" t="str">
        <f>"1.116"</f>
        <v>1.116</v>
      </c>
      <c r="D35" t="str">
        <f>"1.120"</f>
        <v>1.120</v>
      </c>
    </row>
    <row r="36" spans="1:4">
      <c r="A36" t="str">
        <f>""</f>
        <v/>
      </c>
      <c r="B36" t="str">
        <f>"(1.941)"</f>
        <v>(1.941)</v>
      </c>
      <c r="C36" t="str">
        <f>"(1.942)"</f>
        <v>(1.942)</v>
      </c>
      <c r="D36" t="str">
        <f>"(1.942)"</f>
        <v>(1.942)</v>
      </c>
    </row>
    <row r="38" spans="1:4">
      <c r="A38" t="str">
        <f>"Observations"</f>
        <v>Observations</v>
      </c>
      <c r="B38" t="str">
        <f>"112431"</f>
        <v>112431</v>
      </c>
      <c r="C38" t="str">
        <f>"112431"</f>
        <v>112431</v>
      </c>
      <c r="D38" t="str">
        <f>"112431"</f>
        <v>112431</v>
      </c>
    </row>
    <row r="39" spans="1:4">
      <c r="A39" t="str">
        <f>"R-squared"</f>
        <v>R-squared</v>
      </c>
      <c r="B39" t="str">
        <f>"0.768"</f>
        <v>0.768</v>
      </c>
      <c r="C39" t="str">
        <f>"0.767"</f>
        <v>0.767</v>
      </c>
      <c r="D39" t="str">
        <f>"0.767"</f>
        <v>0.767</v>
      </c>
    </row>
    <row r="40" spans="1:4">
      <c r="A40" t="str">
        <f>"AIC"</f>
        <v>AIC</v>
      </c>
      <c r="B40" t="str">
        <f>"452004.8"</f>
        <v>452004.8</v>
      </c>
      <c r="C40" t="str">
        <f>"452073.6"</f>
        <v>452073.6</v>
      </c>
      <c r="D40" t="str">
        <f>"452071.8"</f>
        <v>452071.8</v>
      </c>
    </row>
    <row r="42" spans="1:4">
      <c r="A42" t="str">
        <f>"Standard errors in parentheses"</f>
        <v>Standard errors in parentheses</v>
      </c>
    </row>
    <row r="43" spans="1:4">
      <c r="A43" t="s">
        <v>0</v>
      </c>
      <c r="B43" t="s">
        <v>1</v>
      </c>
      <c r="C43" t="s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595B-0FCD-42EA-8DE6-AB4B2AE772ED}">
  <dimension ref="A2:F43"/>
  <sheetViews>
    <sheetView workbookViewId="0">
      <selection activeCell="H13" sqref="H13"/>
    </sheetView>
  </sheetViews>
  <sheetFormatPr defaultRowHeight="14.4"/>
  <cols>
    <col min="1" max="1" width="26.21875" bestFit="1" customWidth="1"/>
    <col min="2" max="4" width="11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"Import"</f>
        <v>Import</v>
      </c>
      <c r="C3" t="str">
        <f>"Import"</f>
        <v>Import</v>
      </c>
      <c r="D3" t="str">
        <f>"Import"</f>
        <v>Import</v>
      </c>
    </row>
    <row r="5" spans="1:6">
      <c r="A5" t="str">
        <f>"ln (captial distance)"</f>
        <v>ln (captial distance)</v>
      </c>
      <c r="B5" t="str">
        <f>"-0.697***"</f>
        <v>-0.697***</v>
      </c>
      <c r="C5" t="str">
        <f>"-0.694***"</f>
        <v>-0.694***</v>
      </c>
      <c r="D5" t="str">
        <f>"-0.694***"</f>
        <v>-0.694***</v>
      </c>
    </row>
    <row r="6" spans="1:6">
      <c r="A6" t="str">
        <f>""</f>
        <v/>
      </c>
      <c r="B6" t="str">
        <f>"(0.0118)"</f>
        <v>(0.0118)</v>
      </c>
      <c r="C6" t="str">
        <f>"(0.0119)"</f>
        <v>(0.0119)</v>
      </c>
      <c r="D6" t="str">
        <f>"(0.0119)"</f>
        <v>(0.0119)</v>
      </c>
    </row>
    <row r="8" spans="1:6">
      <c r="A8" t="str">
        <f>"ln (country's GDP)"</f>
        <v>ln (country's GDP)</v>
      </c>
      <c r="B8" t="str">
        <f>"0.547***"</f>
        <v>0.547***</v>
      </c>
      <c r="C8" t="str">
        <f>"0.546***"</f>
        <v>0.546***</v>
      </c>
      <c r="D8" t="str">
        <f>"0.547***"</f>
        <v>0.547***</v>
      </c>
      <c r="F8" s="1" t="s">
        <v>4</v>
      </c>
    </row>
    <row r="9" spans="1:6">
      <c r="A9" t="str">
        <f>""</f>
        <v/>
      </c>
      <c r="B9" t="str">
        <f>"(0.0801)"</f>
        <v>(0.0801)</v>
      </c>
      <c r="C9" t="str">
        <f>"(0.0801)"</f>
        <v>(0.0801)</v>
      </c>
      <c r="D9" t="str">
        <f>"(0.0801)"</f>
        <v>(0.0801)</v>
      </c>
      <c r="F9" s="1" t="s">
        <v>14</v>
      </c>
    </row>
    <row r="10" spans="1:6">
      <c r="F10" s="1" t="s">
        <v>5</v>
      </c>
    </row>
    <row r="11" spans="1:6">
      <c r="A11" t="str">
        <f>"ln (partner's GDP)"</f>
        <v>ln (partner's GDP)</v>
      </c>
      <c r="B11" t="str">
        <f>"0.559***"</f>
        <v>0.559***</v>
      </c>
      <c r="C11" t="str">
        <f>"0.558***"</f>
        <v>0.558***</v>
      </c>
      <c r="D11" t="str">
        <f>"0.557***"</f>
        <v>0.557***</v>
      </c>
    </row>
    <row r="12" spans="1:6">
      <c r="A12" t="str">
        <f>""</f>
        <v/>
      </c>
      <c r="B12" t="str">
        <f>"(0.0746)"</f>
        <v>(0.0746)</v>
      </c>
      <c r="C12" t="str">
        <f>"(0.0744)"</f>
        <v>(0.0744)</v>
      </c>
      <c r="D12" t="str">
        <f>"(0.0743)"</f>
        <v>(0.0743)</v>
      </c>
    </row>
    <row r="14" spans="1:6">
      <c r="A14" t="str">
        <f>"RTA"</f>
        <v>RTA</v>
      </c>
      <c r="B14" t="str">
        <f>"0.389***"</f>
        <v>0.389***</v>
      </c>
      <c r="C14" t="str">
        <f>"0.389***"</f>
        <v>0.389***</v>
      </c>
      <c r="D14" t="str">
        <f>"0.389***"</f>
        <v>0.389***</v>
      </c>
    </row>
    <row r="15" spans="1:6">
      <c r="A15" t="str">
        <f>""</f>
        <v/>
      </c>
      <c r="B15" t="str">
        <f>"(0.0239)"</f>
        <v>(0.0239)</v>
      </c>
      <c r="C15" t="str">
        <f>"(0.0239)"</f>
        <v>(0.0239)</v>
      </c>
      <c r="D15" t="str">
        <f>"(0.0239)"</f>
        <v>(0.0239)</v>
      </c>
    </row>
    <row r="17" spans="1:4">
      <c r="A17" t="str">
        <f>"col45"</f>
        <v>col45</v>
      </c>
      <c r="B17" t="str">
        <f>"0.194***"</f>
        <v>0.194***</v>
      </c>
      <c r="C17" t="str">
        <f>"0.195***"</f>
        <v>0.195***</v>
      </c>
      <c r="D17" t="str">
        <f>"0.195***"</f>
        <v>0.195***</v>
      </c>
    </row>
    <row r="18" spans="1:4">
      <c r="A18" t="str">
        <f>""</f>
        <v/>
      </c>
      <c r="B18" t="str">
        <f>"(0.0626)"</f>
        <v>(0.0626)</v>
      </c>
      <c r="C18" t="str">
        <f>"(0.0621)"</f>
        <v>(0.0621)</v>
      </c>
      <c r="D18" t="str">
        <f>"(0.0620)"</f>
        <v>(0.0620)</v>
      </c>
    </row>
    <row r="20" spans="1:4">
      <c r="A20" t="str">
        <f>"Contiguity"</f>
        <v>Contiguity</v>
      </c>
      <c r="B20" t="str">
        <f>"0.458***"</f>
        <v>0.458***</v>
      </c>
      <c r="C20" t="str">
        <f>"0.456***"</f>
        <v>0.456***</v>
      </c>
      <c r="D20" t="str">
        <f>"0.455***"</f>
        <v>0.455***</v>
      </c>
    </row>
    <row r="21" spans="1:4">
      <c r="A21" t="str">
        <f>""</f>
        <v/>
      </c>
      <c r="B21" t="str">
        <f>"(0.0230)"</f>
        <v>(0.0230)</v>
      </c>
      <c r="C21" t="str">
        <f>"(0.0230)"</f>
        <v>(0.0230)</v>
      </c>
      <c r="D21" t="str">
        <f>"(0.0230)"</f>
        <v>(0.0230)</v>
      </c>
    </row>
    <row r="23" spans="1:4">
      <c r="A23" t="str">
        <f>"comleg_posttrans"</f>
        <v>comleg_posttrans</v>
      </c>
      <c r="B23" t="str">
        <f>"0.152***"</f>
        <v>0.152***</v>
      </c>
      <c r="C23" t="str">
        <f>"0.154***"</f>
        <v>0.154***</v>
      </c>
      <c r="D23" t="str">
        <f>"0.154***"</f>
        <v>0.154***</v>
      </c>
    </row>
    <row r="24" spans="1:4">
      <c r="A24" t="str">
        <f>""</f>
        <v/>
      </c>
      <c r="B24" t="str">
        <f>"(0.0132)"</f>
        <v>(0.0132)</v>
      </c>
      <c r="C24" t="str">
        <f>"(0.0132)"</f>
        <v>(0.0132)</v>
      </c>
      <c r="D24" t="str">
        <f>"(0.0132)"</f>
        <v>(0.0132)</v>
      </c>
    </row>
    <row r="26" spans="1:4">
      <c r="A26" t="str">
        <f>"BRI_ij*ln(capital distance)"</f>
        <v>BRI_ij*ln(capital distance)</v>
      </c>
      <c r="B26" t="str">
        <f>"0.0134***"</f>
        <v>0.0134***</v>
      </c>
      <c r="C26" t="str">
        <f>""</f>
        <v/>
      </c>
      <c r="D26" t="str">
        <f>""</f>
        <v/>
      </c>
    </row>
    <row r="27" spans="1:4">
      <c r="A27" t="str">
        <f>""</f>
        <v/>
      </c>
      <c r="B27" t="str">
        <f>"(0.00304)"</f>
        <v>(0.00304)</v>
      </c>
      <c r="C27" t="str">
        <f>""</f>
        <v/>
      </c>
      <c r="D27" t="str">
        <f>""</f>
        <v/>
      </c>
    </row>
    <row r="29" spans="1:4">
      <c r="A29" t="str">
        <f>"BRI_ij*ln(country's GDP)"</f>
        <v>BRI_ij*ln(country's GDP)</v>
      </c>
      <c r="B29" t="str">
        <f>""</f>
        <v/>
      </c>
      <c r="C29" t="str">
        <f>"0.00464***"</f>
        <v>0.00464***</v>
      </c>
      <c r="D29" t="str">
        <f>""</f>
        <v/>
      </c>
    </row>
    <row r="30" spans="1:4">
      <c r="A30" t="str">
        <f>""</f>
        <v/>
      </c>
      <c r="B30" t="str">
        <f>""</f>
        <v/>
      </c>
      <c r="C30" t="str">
        <f>"(0.000962)"</f>
        <v>(0.000962)</v>
      </c>
      <c r="D30" t="str">
        <f>""</f>
        <v/>
      </c>
    </row>
    <row r="32" spans="1:4">
      <c r="A32" t="str">
        <f>"BRI_ij*ln(partner's GDP)"</f>
        <v>BRI_ij*ln(partner's GDP)</v>
      </c>
      <c r="B32" t="str">
        <f>""</f>
        <v/>
      </c>
      <c r="C32" t="str">
        <f>""</f>
        <v/>
      </c>
      <c r="D32" t="str">
        <f>"0.00501***"</f>
        <v>0.00501***</v>
      </c>
    </row>
    <row r="33" spans="1:4">
      <c r="A33" t="str">
        <f>""</f>
        <v/>
      </c>
      <c r="B33" t="str">
        <f>""</f>
        <v/>
      </c>
      <c r="C33" t="str">
        <f>""</f>
        <v/>
      </c>
      <c r="D33" t="str">
        <f>"(0.000955)"</f>
        <v>(0.000955)</v>
      </c>
    </row>
    <row r="35" spans="1:4">
      <c r="A35" t="str">
        <f>"Constant"</f>
        <v>Constant</v>
      </c>
      <c r="B35" t="str">
        <f>"-2.678"</f>
        <v>-2.678</v>
      </c>
      <c r="C35" t="str">
        <f>"-2.650"</f>
        <v>-2.650</v>
      </c>
      <c r="D35" t="str">
        <f>"-2.648"</f>
        <v>-2.648</v>
      </c>
    </row>
    <row r="36" spans="1:4">
      <c r="A36" t="str">
        <f>""</f>
        <v/>
      </c>
      <c r="B36" t="str">
        <f>"(2.856)"</f>
        <v>(2.856)</v>
      </c>
      <c r="C36" t="str">
        <f>"(2.855)"</f>
        <v>(2.855)</v>
      </c>
      <c r="D36" t="str">
        <f>"(2.853)"</f>
        <v>(2.853)</v>
      </c>
    </row>
    <row r="38" spans="1:4">
      <c r="A38" t="str">
        <f>"Observations"</f>
        <v>Observations</v>
      </c>
      <c r="B38" t="str">
        <f>"162810"</f>
        <v>162810</v>
      </c>
      <c r="C38" t="str">
        <f>"162810"</f>
        <v>162810</v>
      </c>
      <c r="D38" t="str">
        <f>"162810"</f>
        <v>162810</v>
      </c>
    </row>
    <row r="39" spans="1:4">
      <c r="A39" t="str">
        <f>"Pseudo R-squared"</f>
        <v>Pseudo R-squared</v>
      </c>
      <c r="B39" t="str">
        <f>"0.933"</f>
        <v>0.933</v>
      </c>
      <c r="C39" t="str">
        <f>"0.933"</f>
        <v>0.933</v>
      </c>
      <c r="D39" t="str">
        <f>"0.933"</f>
        <v>0.933</v>
      </c>
    </row>
    <row r="40" spans="1:4">
      <c r="A40" t="str">
        <f>"AIC"</f>
        <v>AIC</v>
      </c>
      <c r="B40" t="str">
        <f>"4.32511e+13"</f>
        <v>4.32511e+13</v>
      </c>
      <c r="C40" t="str">
        <f>"4.32338e+13"</f>
        <v>4.32338e+13</v>
      </c>
      <c r="D40" t="str">
        <f>"4.32206e+13"</f>
        <v>4.32206e+13</v>
      </c>
    </row>
    <row r="42" spans="1:4">
      <c r="A42" t="str">
        <f>"Standard errors in parentheses"</f>
        <v>Standard errors in parentheses</v>
      </c>
    </row>
    <row r="43" spans="1:4">
      <c r="A43" t="s">
        <v>0</v>
      </c>
      <c r="B43" t="s">
        <v>1</v>
      </c>
      <c r="C43" t="s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343E-3AD4-4D3B-9DB4-E3E05CE040A8}">
  <dimension ref="A2:F43"/>
  <sheetViews>
    <sheetView workbookViewId="0">
      <selection activeCell="H14" sqref="H14"/>
    </sheetView>
  </sheetViews>
  <sheetFormatPr defaultColWidth="11.6640625" defaultRowHeight="14.4"/>
  <cols>
    <col min="1" max="1" width="26.21875" bestFit="1" customWidth="1"/>
    <col min="2" max="4" width="11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"Import"</f>
        <v>Import</v>
      </c>
      <c r="C3" t="str">
        <f>"Import"</f>
        <v>Import</v>
      </c>
      <c r="D3" t="str">
        <f>"Import"</f>
        <v>Import</v>
      </c>
    </row>
    <row r="5" spans="1:6">
      <c r="A5" t="str">
        <f>"ln (captial distance)"</f>
        <v>ln (captial distance)</v>
      </c>
      <c r="B5" t="str">
        <f>"-0.564***"</f>
        <v>-0.564***</v>
      </c>
      <c r="C5" t="str">
        <f>"-0.559***"</f>
        <v>-0.559***</v>
      </c>
      <c r="D5" t="str">
        <f>"-0.559***"</f>
        <v>-0.559***</v>
      </c>
    </row>
    <row r="6" spans="1:6">
      <c r="A6" t="str">
        <f>""</f>
        <v/>
      </c>
      <c r="B6" t="str">
        <f>"(0.0156)"</f>
        <v>(0.0156)</v>
      </c>
      <c r="C6" t="str">
        <f>"(0.0156)"</f>
        <v>(0.0156)</v>
      </c>
      <c r="D6" t="str">
        <f>"(0.0155)"</f>
        <v>(0.0155)</v>
      </c>
    </row>
    <row r="8" spans="1:6">
      <c r="A8" t="str">
        <f>"ln (country's GDP)"</f>
        <v>ln (country's GDP)</v>
      </c>
      <c r="B8" t="str">
        <f>"0.837***"</f>
        <v>0.837***</v>
      </c>
      <c r="C8" t="str">
        <f>"0.838***"</f>
        <v>0.838***</v>
      </c>
      <c r="D8" t="str">
        <f>"0.840***"</f>
        <v>0.840***</v>
      </c>
      <c r="F8" s="1" t="s">
        <v>4</v>
      </c>
    </row>
    <row r="9" spans="1:6">
      <c r="A9" t="str">
        <f>""</f>
        <v/>
      </c>
      <c r="B9" t="str">
        <f>"(0.00717)"</f>
        <v>(0.00717)</v>
      </c>
      <c r="C9" t="str">
        <f>"(0.00709)"</f>
        <v>(0.00709)</v>
      </c>
      <c r="D9" t="str">
        <f>"(0.00717)"</f>
        <v>(0.00717)</v>
      </c>
      <c r="F9" s="1" t="s">
        <v>14</v>
      </c>
    </row>
    <row r="10" spans="1:6">
      <c r="F10" s="1" t="s">
        <v>3</v>
      </c>
    </row>
    <row r="11" spans="1:6">
      <c r="A11" t="str">
        <f>"ln (partner's GDP)"</f>
        <v>ln (partner's GDP)</v>
      </c>
      <c r="B11" t="str">
        <f>"0.815***"</f>
        <v>0.815***</v>
      </c>
      <c r="C11" t="str">
        <f>"0.817***"</f>
        <v>0.817***</v>
      </c>
      <c r="D11" t="str">
        <f>"0.817***"</f>
        <v>0.817***</v>
      </c>
    </row>
    <row r="12" spans="1:6">
      <c r="A12" t="str">
        <f>""</f>
        <v/>
      </c>
      <c r="B12" t="str">
        <f>"(0.00664)"</f>
        <v>(0.00664)</v>
      </c>
      <c r="C12" t="str">
        <f>"(0.00659)"</f>
        <v>(0.00659)</v>
      </c>
      <c r="D12" t="str">
        <f>"(0.00651)"</f>
        <v>(0.00651)</v>
      </c>
    </row>
    <row r="14" spans="1:6">
      <c r="A14" t="str">
        <f>"RTA"</f>
        <v>RTA</v>
      </c>
      <c r="B14" t="str">
        <f>"0.357***"</f>
        <v>0.357***</v>
      </c>
      <c r="C14" t="str">
        <f>"0.361***"</f>
        <v>0.361***</v>
      </c>
      <c r="D14" t="str">
        <f>"0.362***"</f>
        <v>0.362***</v>
      </c>
    </row>
    <row r="15" spans="1:6">
      <c r="A15" t="str">
        <f>""</f>
        <v/>
      </c>
      <c r="B15" t="str">
        <f>"(0.0245)"</f>
        <v>(0.0245)</v>
      </c>
      <c r="C15" t="str">
        <f>"(0.0245)"</f>
        <v>(0.0245)</v>
      </c>
      <c r="D15" t="str">
        <f>"(0.0245)"</f>
        <v>(0.0245)</v>
      </c>
    </row>
    <row r="17" spans="1:4">
      <c r="A17" t="str">
        <f>"col45"</f>
        <v>col45</v>
      </c>
      <c r="B17" t="str">
        <f>"0.355***"</f>
        <v>0.355***</v>
      </c>
      <c r="C17" t="str">
        <f>"0.346***"</f>
        <v>0.346***</v>
      </c>
      <c r="D17" t="str">
        <f>"0.346***"</f>
        <v>0.346***</v>
      </c>
    </row>
    <row r="18" spans="1:4">
      <c r="A18" t="str">
        <f>""</f>
        <v/>
      </c>
      <c r="B18" t="str">
        <f>"(0.0401)"</f>
        <v>(0.0401)</v>
      </c>
      <c r="C18" t="str">
        <f>"(0.0396)"</f>
        <v>(0.0396)</v>
      </c>
      <c r="D18" t="str">
        <f>"(0.0393)"</f>
        <v>(0.0393)</v>
      </c>
    </row>
    <row r="20" spans="1:4">
      <c r="A20" t="str">
        <f>"Contiguity"</f>
        <v>Contiguity</v>
      </c>
      <c r="B20" t="str">
        <f>"0.621***"</f>
        <v>0.621***</v>
      </c>
      <c r="C20" t="str">
        <f>"0.619***"</f>
        <v>0.619***</v>
      </c>
      <c r="D20" t="str">
        <f>"0.618***"</f>
        <v>0.618***</v>
      </c>
    </row>
    <row r="21" spans="1:4">
      <c r="A21" t="str">
        <f>""</f>
        <v/>
      </c>
      <c r="B21" t="str">
        <f>"(0.0461)"</f>
        <v>(0.0461)</v>
      </c>
      <c r="C21" t="str">
        <f>"(0.0459)"</f>
        <v>(0.0459)</v>
      </c>
      <c r="D21" t="str">
        <f>"(0.0458)"</f>
        <v>(0.0458)</v>
      </c>
    </row>
    <row r="23" spans="1:4">
      <c r="A23" t="str">
        <f>"comleg_posttrans"</f>
        <v>comleg_posttrans</v>
      </c>
      <c r="B23" t="str">
        <f>"0.124***"</f>
        <v>0.124***</v>
      </c>
      <c r="C23" t="str">
        <f>"0.125***"</f>
        <v>0.125***</v>
      </c>
      <c r="D23" t="str">
        <f>"0.124***"</f>
        <v>0.124***</v>
      </c>
    </row>
    <row r="24" spans="1:4">
      <c r="A24" t="str">
        <f>""</f>
        <v/>
      </c>
      <c r="B24" t="str">
        <f>"(0.0247)"</f>
        <v>(0.0247)</v>
      </c>
      <c r="C24" t="str">
        <f>"(0.0246)"</f>
        <v>(0.0246)</v>
      </c>
      <c r="D24" t="str">
        <f>"(0.0246)"</f>
        <v>(0.0246)</v>
      </c>
    </row>
    <row r="26" spans="1:4">
      <c r="A26" t="str">
        <f>"BRI_ij*ln(capital distance)"</f>
        <v>BRI_ij*ln(capital distance)</v>
      </c>
      <c r="B26" t="str">
        <f>"0.0356***"</f>
        <v>0.0356***</v>
      </c>
      <c r="C26" t="str">
        <f>""</f>
        <v/>
      </c>
      <c r="D26" t="str">
        <f>""</f>
        <v/>
      </c>
    </row>
    <row r="27" spans="1:4">
      <c r="A27" t="str">
        <f>""</f>
        <v/>
      </c>
      <c r="B27" t="str">
        <f>"(0.00277)"</f>
        <v>(0.00277)</v>
      </c>
      <c r="C27" t="str">
        <f>""</f>
        <v/>
      </c>
      <c r="D27" t="str">
        <f>""</f>
        <v/>
      </c>
    </row>
    <row r="29" spans="1:4">
      <c r="A29" t="str">
        <f>"BRI_ij*ln(country's GDP)"</f>
        <v>BRI_ij*ln(country's GDP)</v>
      </c>
      <c r="B29" t="str">
        <f>""</f>
        <v/>
      </c>
      <c r="C29" t="str">
        <f>"0.0115***"</f>
        <v>0.0115***</v>
      </c>
      <c r="D29" t="str">
        <f>""</f>
        <v/>
      </c>
    </row>
    <row r="30" spans="1:4">
      <c r="A30" t="str">
        <f>""</f>
        <v/>
      </c>
      <c r="B30" t="str">
        <f>""</f>
        <v/>
      </c>
      <c r="C30" t="str">
        <f>"(0.000835)"</f>
        <v>(0.000835)</v>
      </c>
      <c r="D30" t="str">
        <f>""</f>
        <v/>
      </c>
    </row>
    <row r="32" spans="1:4">
      <c r="A32" t="str">
        <f>"BRI_ij*ln(partner's GDP)"</f>
        <v>BRI_ij*ln(partner's GDP)</v>
      </c>
      <c r="B32" t="str">
        <f>""</f>
        <v/>
      </c>
      <c r="C32" t="str">
        <f>""</f>
        <v/>
      </c>
      <c r="D32" t="str">
        <f>"0.0121***"</f>
        <v>0.0121***</v>
      </c>
    </row>
    <row r="33" spans="1:4">
      <c r="A33" t="str">
        <f>""</f>
        <v/>
      </c>
      <c r="B33" t="str">
        <f>""</f>
        <v/>
      </c>
      <c r="C33" t="str">
        <f>""</f>
        <v/>
      </c>
      <c r="D33" t="str">
        <f>"(0.000839)"</f>
        <v>(0.000839)</v>
      </c>
    </row>
    <row r="35" spans="1:4">
      <c r="A35" t="str">
        <f>"Constant"</f>
        <v>Constant</v>
      </c>
      <c r="B35" t="str">
        <f>"-19.15***"</f>
        <v>-19.15***</v>
      </c>
      <c r="C35" t="str">
        <f>"-19.29***"</f>
        <v>-19.29***</v>
      </c>
      <c r="D35" t="str">
        <f>"-19.36***"</f>
        <v>-19.36***</v>
      </c>
    </row>
    <row r="36" spans="1:4">
      <c r="A36" t="str">
        <f>""</f>
        <v/>
      </c>
      <c r="B36" t="str">
        <f>"(0.332)"</f>
        <v>(0.332)</v>
      </c>
      <c r="C36" t="str">
        <f>"(0.331)"</f>
        <v>(0.331)</v>
      </c>
      <c r="D36" t="str">
        <f>"(0.331)"</f>
        <v>(0.331)</v>
      </c>
    </row>
    <row r="38" spans="1:4">
      <c r="A38" t="str">
        <f>"Observations"</f>
        <v>Observations</v>
      </c>
      <c r="B38" t="str">
        <f>"162810"</f>
        <v>162810</v>
      </c>
      <c r="C38" t="str">
        <f>"162810"</f>
        <v>162810</v>
      </c>
      <c r="D38" t="str">
        <f>"162810"</f>
        <v>162810</v>
      </c>
    </row>
    <row r="39" spans="1:4">
      <c r="A39" t="str">
        <f>"R-squared"</f>
        <v>R-squared</v>
      </c>
      <c r="B39" t="str">
        <f>"0.754"</f>
        <v>0.754</v>
      </c>
      <c r="C39" t="str">
        <f>"0.754"</f>
        <v>0.754</v>
      </c>
      <c r="D39" t="str">
        <f>"0.755"</f>
        <v>0.755</v>
      </c>
    </row>
    <row r="40" spans="1:4">
      <c r="A40" t="str">
        <f>"AIC"</f>
        <v>AIC</v>
      </c>
      <c r="B40" t="str">
        <f>"7.90706e+13"</f>
        <v>7.90706e+13</v>
      </c>
      <c r="C40" t="str">
        <f>"7.89080e+13"</f>
        <v>7.89080e+13</v>
      </c>
      <c r="D40" t="str">
        <f>"7.88044e+13"</f>
        <v>7.88044e+13</v>
      </c>
    </row>
    <row r="42" spans="1:4">
      <c r="A42" t="str">
        <f>"Standard errors in parentheses"</f>
        <v>Standard errors in parentheses</v>
      </c>
    </row>
    <row r="43" spans="1:4">
      <c r="A43" t="s">
        <v>0</v>
      </c>
      <c r="B43" t="s">
        <v>1</v>
      </c>
      <c r="C43" t="s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249A-BD48-4765-A308-7E8E9E980192}">
  <dimension ref="A2:D23"/>
  <sheetViews>
    <sheetView workbookViewId="0">
      <selection activeCell="G25" sqref="G25"/>
    </sheetView>
  </sheetViews>
  <sheetFormatPr defaultRowHeight="14.4"/>
  <cols>
    <col min="1" max="1" width="26.21875" bestFit="1" customWidth="1"/>
    <col min="2" max="2" width="33.21875" bestFit="1" customWidth="1"/>
    <col min="3" max="3" width="30.88671875" bestFit="1" customWidth="1"/>
    <col min="4" max="4" width="31.6640625" bestFit="1" customWidth="1"/>
  </cols>
  <sheetData>
    <row r="2" spans="1:4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4">
      <c r="A3" t="str">
        <f>""</f>
        <v/>
      </c>
      <c r="B3" t="str">
        <f>"ln (import from ROW (excluding China))"</f>
        <v>ln (import from ROW (excluding China))</v>
      </c>
      <c r="C3" t="str">
        <f>"ln (export to ROW (excluding China))"</f>
        <v>ln (export to ROW (excluding China))</v>
      </c>
      <c r="D3" t="str">
        <f>"ln (trade with ROW (excluding China))"</f>
        <v>ln (trade with ROW (excluding China))</v>
      </c>
    </row>
    <row r="5" spans="1:4">
      <c r="A5" t="str">
        <f>"bri_entry"</f>
        <v>bri_entry</v>
      </c>
      <c r="B5" t="str">
        <f>"0.0413*"</f>
        <v>0.0413*</v>
      </c>
      <c r="C5" t="str">
        <f>"0.0273"</f>
        <v>0.0273</v>
      </c>
      <c r="D5" t="str">
        <f>"0.0363*"</f>
        <v>0.0363*</v>
      </c>
    </row>
    <row r="6" spans="1:4">
      <c r="A6" t="str">
        <f>""</f>
        <v/>
      </c>
      <c r="B6" t="str">
        <f>"(0.0228)"</f>
        <v>(0.0228)</v>
      </c>
      <c r="C6" t="str">
        <f>"(0.0269)"</f>
        <v>(0.0269)</v>
      </c>
      <c r="D6" t="str">
        <f>"(0.0214)"</f>
        <v>(0.0214)</v>
      </c>
    </row>
    <row r="8" spans="1:4">
      <c r="A8" t="str">
        <f>"ln (GDP)"</f>
        <v>ln (GDP)</v>
      </c>
      <c r="B8" t="str">
        <f>"0.496***"</f>
        <v>0.496***</v>
      </c>
      <c r="C8" t="str">
        <f>"0.589***"</f>
        <v>0.589***</v>
      </c>
      <c r="D8" t="str">
        <f>"0.555***"</f>
        <v>0.555***</v>
      </c>
    </row>
    <row r="9" spans="1:4">
      <c r="A9" t="str">
        <f>""</f>
        <v/>
      </c>
      <c r="B9" t="str">
        <f>"(0.0458)"</f>
        <v>(0.0458)</v>
      </c>
      <c r="C9" t="str">
        <f>"(0.0589)"</f>
        <v>(0.0589)</v>
      </c>
      <c r="D9" t="str">
        <f>"(0.0414)"</f>
        <v>(0.0414)</v>
      </c>
    </row>
    <row r="11" spans="1:4">
      <c r="A11" t="str">
        <f>"Constant"</f>
        <v>Constant</v>
      </c>
      <c r="B11" t="str">
        <f>"10.89***"</f>
        <v>10.89***</v>
      </c>
      <c r="C11" t="str">
        <f>"8.889***"</f>
        <v>8.889***</v>
      </c>
      <c r="D11" t="str">
        <f>"10.29***"</f>
        <v>10.29***</v>
      </c>
    </row>
    <row r="12" spans="1:4">
      <c r="A12" t="str">
        <f>""</f>
        <v/>
      </c>
      <c r="B12" t="str">
        <f>"(1.161)"</f>
        <v>(1.161)</v>
      </c>
      <c r="C12" t="str">
        <f>"(1.503)"</f>
        <v>(1.503)</v>
      </c>
      <c r="D12" t="str">
        <f>"(1.061)"</f>
        <v>(1.061)</v>
      </c>
    </row>
    <row r="14" spans="1:4">
      <c r="A14" t="str">
        <f>"Observations"</f>
        <v>Observations</v>
      </c>
      <c r="B14" t="str">
        <f>"1214"</f>
        <v>1214</v>
      </c>
      <c r="C14" t="str">
        <f>"1212"</f>
        <v>1212</v>
      </c>
      <c r="D14" t="str">
        <f>"1215"</f>
        <v>1215</v>
      </c>
    </row>
    <row r="15" spans="1:4">
      <c r="A15" t="str">
        <f>"R-squared"</f>
        <v>R-squared</v>
      </c>
      <c r="B15" t="str">
        <f>"0.996"</f>
        <v>0.996</v>
      </c>
      <c r="C15" t="str">
        <f>"0.990"</f>
        <v>0.990</v>
      </c>
      <c r="D15" t="str">
        <f>"0.997"</f>
        <v>0.997</v>
      </c>
    </row>
    <row r="16" spans="1:4">
      <c r="A16" t="str">
        <f>"AIC"</f>
        <v>AIC</v>
      </c>
      <c r="B16" t="str">
        <f>"-1108.9"</f>
        <v>-1108.9</v>
      </c>
      <c r="C16" t="str">
        <f>"571.0"</f>
        <v>571.0</v>
      </c>
      <c r="D16" t="str">
        <f>"-1248.7"</f>
        <v>-1248.7</v>
      </c>
    </row>
    <row r="18" spans="1:3">
      <c r="A18" t="str">
        <f>"Standard errors in parentheses"</f>
        <v>Standard errors in parentheses</v>
      </c>
    </row>
    <row r="19" spans="1:3">
      <c r="A19" t="s">
        <v>0</v>
      </c>
      <c r="B19" t="s">
        <v>1</v>
      </c>
      <c r="C19" t="s">
        <v>2</v>
      </c>
    </row>
    <row r="22" spans="1:3">
      <c r="A22" s="1" t="s">
        <v>319</v>
      </c>
    </row>
    <row r="23" spans="1:3">
      <c r="A23" s="1" t="s">
        <v>318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390B4-137E-4D27-86A1-27460F9CCE3B}">
  <dimension ref="A2:D23"/>
  <sheetViews>
    <sheetView workbookViewId="0">
      <selection activeCell="G23" sqref="G23"/>
    </sheetView>
  </sheetViews>
  <sheetFormatPr defaultRowHeight="14.4"/>
  <cols>
    <col min="1" max="1" width="26.21875" bestFit="1" customWidth="1"/>
    <col min="2" max="2" width="33.21875" bestFit="1" customWidth="1"/>
    <col min="3" max="3" width="30.88671875" bestFit="1" customWidth="1"/>
    <col min="4" max="4" width="31.6640625" bestFit="1" customWidth="1"/>
  </cols>
  <sheetData>
    <row r="2" spans="1:4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4">
      <c r="A3" t="str">
        <f>""</f>
        <v/>
      </c>
      <c r="B3" t="str">
        <f>"ln (import from ROW (excluding China))"</f>
        <v>ln (import from ROW (excluding China))</v>
      </c>
      <c r="C3" t="str">
        <f>"ln (export to ROW (excluding China))"</f>
        <v>ln (export to ROW (excluding China))</v>
      </c>
      <c r="D3" t="str">
        <f>"ln (trade with ROW (excluding China))"</f>
        <v>ln (trade with ROW (excluding China))</v>
      </c>
    </row>
    <row r="5" spans="1:4">
      <c r="A5" t="str">
        <f>"BRI"</f>
        <v>BRI</v>
      </c>
      <c r="B5" t="str">
        <f>"1.493***"</f>
        <v>1.493***</v>
      </c>
      <c r="C5" t="str">
        <f>"3.399***"</f>
        <v>3.399***</v>
      </c>
      <c r="D5" t="str">
        <f>"1.952***"</f>
        <v>1.952***</v>
      </c>
    </row>
    <row r="6" spans="1:4">
      <c r="A6" t="str">
        <f>""</f>
        <v/>
      </c>
      <c r="B6" t="str">
        <f>"(0.242)"</f>
        <v>(0.242)</v>
      </c>
      <c r="C6" t="str">
        <f>"(0.328)"</f>
        <v>(0.328)</v>
      </c>
      <c r="D6" t="str">
        <f>"(0.236)"</f>
        <v>(0.236)</v>
      </c>
    </row>
    <row r="8" spans="1:4">
      <c r="A8" t="str">
        <f>"ln (GDP)"</f>
        <v>ln (GDP)</v>
      </c>
      <c r="B8" t="str">
        <f>"0.489***"</f>
        <v>0.489***</v>
      </c>
      <c r="C8" t="str">
        <f>"0.585***"</f>
        <v>0.585***</v>
      </c>
      <c r="D8" t="str">
        <f>"0.549***"</f>
        <v>0.549***</v>
      </c>
    </row>
    <row r="9" spans="1:4">
      <c r="A9" t="str">
        <f>""</f>
        <v/>
      </c>
      <c r="B9" t="str">
        <f>"(0.0451)"</f>
        <v>(0.0451)</v>
      </c>
      <c r="C9" t="str">
        <f>"(0.0583)"</f>
        <v>(0.0583)</v>
      </c>
      <c r="D9" t="str">
        <f>"(0.0406)"</f>
        <v>(0.0406)</v>
      </c>
    </row>
    <row r="11" spans="1:4">
      <c r="A11" t="str">
        <f>"Constant"</f>
        <v>Constant</v>
      </c>
      <c r="B11" t="str">
        <f>"9.555***"</f>
        <v>9.555***</v>
      </c>
      <c r="C11" t="str">
        <f>"5.589***"</f>
        <v>5.589***</v>
      </c>
      <c r="D11" t="str">
        <f>"8.474***"</f>
        <v>8.474***</v>
      </c>
    </row>
    <row r="12" spans="1:4">
      <c r="A12" t="str">
        <f>""</f>
        <v/>
      </c>
      <c r="B12" t="str">
        <f>"(0.913)"</f>
        <v>(0.913)</v>
      </c>
      <c r="C12" t="str">
        <f>"(1.180)"</f>
        <v>(1.180)</v>
      </c>
      <c r="D12" t="str">
        <f>"(0.823)"</f>
        <v>(0.823)</v>
      </c>
    </row>
    <row r="14" spans="1:4">
      <c r="A14" t="str">
        <f>"Observations"</f>
        <v>Observations</v>
      </c>
      <c r="B14" t="str">
        <f>"1214"</f>
        <v>1214</v>
      </c>
      <c r="C14" t="str">
        <f>"1212"</f>
        <v>1212</v>
      </c>
      <c r="D14" t="str">
        <f>"1215"</f>
        <v>1215</v>
      </c>
    </row>
    <row r="15" spans="1:4">
      <c r="A15" t="str">
        <f>"R-squared"</f>
        <v>R-squared</v>
      </c>
      <c r="B15" t="str">
        <f>"0.996"</f>
        <v>0.996</v>
      </c>
      <c r="C15" t="str">
        <f>"0.990"</f>
        <v>0.990</v>
      </c>
      <c r="D15" t="str">
        <f>"0.997"</f>
        <v>0.997</v>
      </c>
    </row>
    <row r="16" spans="1:4">
      <c r="A16" t="str">
        <f>"AIC"</f>
        <v>AIC</v>
      </c>
      <c r="B16" t="str">
        <f>"-1104.7"</f>
        <v>-1104.7</v>
      </c>
      <c r="C16" t="str">
        <f>"569.7"</f>
        <v>569.7</v>
      </c>
      <c r="D16" t="str">
        <f>"-1245.3"</f>
        <v>-1245.3</v>
      </c>
    </row>
    <row r="18" spans="1:3">
      <c r="A18" t="str">
        <f>"Standard errors in parentheses"</f>
        <v>Standard errors in parentheses</v>
      </c>
    </row>
    <row r="19" spans="1:3">
      <c r="A19" t="s">
        <v>0</v>
      </c>
      <c r="B19" t="s">
        <v>1</v>
      </c>
      <c r="C19" t="s">
        <v>2</v>
      </c>
    </row>
    <row r="22" spans="1:3">
      <c r="A22" s="1" t="s">
        <v>320</v>
      </c>
    </row>
    <row r="23" spans="1:3">
      <c r="A23" s="1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3A44-C532-4DCB-A84E-1E740EF82576}">
  <dimension ref="A1:I136"/>
  <sheetViews>
    <sheetView workbookViewId="0">
      <selection activeCell="F5" sqref="F5"/>
    </sheetView>
  </sheetViews>
  <sheetFormatPr defaultRowHeight="14.4"/>
  <cols>
    <col min="2" max="2" width="26.21875" bestFit="1" customWidth="1"/>
    <col min="3" max="3" width="9.77734375" bestFit="1" customWidth="1"/>
    <col min="7" max="7" width="10.109375" bestFit="1" customWidth="1"/>
    <col min="10" max="11" width="10.109375" bestFit="1" customWidth="1"/>
  </cols>
  <sheetData>
    <row r="1" spans="1:9">
      <c r="A1" s="1" t="s">
        <v>40</v>
      </c>
      <c r="B1" s="1" t="s">
        <v>41</v>
      </c>
      <c r="C1" s="1" t="s">
        <v>42</v>
      </c>
      <c r="D1" s="1" t="s">
        <v>43</v>
      </c>
    </row>
    <row r="2" spans="1:9">
      <c r="A2" t="s">
        <v>44</v>
      </c>
      <c r="B2" t="s">
        <v>45</v>
      </c>
      <c r="C2">
        <v>2018</v>
      </c>
      <c r="D2">
        <v>1</v>
      </c>
      <c r="G2" s="3" t="s">
        <v>316</v>
      </c>
      <c r="H2" s="4" t="s">
        <v>317</v>
      </c>
      <c r="I2" s="5" t="s">
        <v>315</v>
      </c>
    </row>
    <row r="3" spans="1:9">
      <c r="A3" t="s">
        <v>46</v>
      </c>
      <c r="B3" t="s">
        <v>47</v>
      </c>
      <c r="C3">
        <v>2017</v>
      </c>
      <c r="D3">
        <v>1</v>
      </c>
      <c r="G3" s="6">
        <v>92</v>
      </c>
      <c r="H3" s="7">
        <v>43</v>
      </c>
      <c r="I3" s="8">
        <v>135</v>
      </c>
    </row>
    <row r="4" spans="1:9">
      <c r="A4" t="s">
        <v>50</v>
      </c>
      <c r="B4" t="s">
        <v>51</v>
      </c>
      <c r="C4">
        <v>2018</v>
      </c>
      <c r="D4">
        <v>1</v>
      </c>
      <c r="G4" s="9">
        <f>92/135</f>
        <v>0.68148148148148147</v>
      </c>
      <c r="H4" s="10">
        <f>43/135</f>
        <v>0.31851851851851853</v>
      </c>
      <c r="I4" s="11"/>
    </row>
    <row r="5" spans="1:9">
      <c r="A5" t="s">
        <v>54</v>
      </c>
      <c r="B5" t="s">
        <v>55</v>
      </c>
      <c r="C5">
        <v>2015</v>
      </c>
      <c r="D5">
        <v>1</v>
      </c>
    </row>
    <row r="6" spans="1:9">
      <c r="A6" t="s">
        <v>56</v>
      </c>
      <c r="B6" t="s">
        <v>57</v>
      </c>
      <c r="C6">
        <v>2018</v>
      </c>
      <c r="D6">
        <v>1</v>
      </c>
    </row>
    <row r="7" spans="1:9">
      <c r="A7" t="s">
        <v>60</v>
      </c>
      <c r="B7" t="s">
        <v>61</v>
      </c>
      <c r="C7">
        <v>2018</v>
      </c>
      <c r="D7">
        <v>1</v>
      </c>
      <c r="G7" s="3" t="s">
        <v>42</v>
      </c>
      <c r="H7" s="5" t="s">
        <v>314</v>
      </c>
    </row>
    <row r="8" spans="1:9">
      <c r="A8" t="s">
        <v>62</v>
      </c>
      <c r="B8" t="s">
        <v>63</v>
      </c>
      <c r="C8">
        <v>2015</v>
      </c>
      <c r="D8">
        <v>1</v>
      </c>
      <c r="G8" s="6">
        <v>2014</v>
      </c>
      <c r="H8" s="8">
        <v>3</v>
      </c>
    </row>
    <row r="9" spans="1:9">
      <c r="A9" t="s">
        <v>64</v>
      </c>
      <c r="B9" t="s">
        <v>65</v>
      </c>
      <c r="C9">
        <v>2018</v>
      </c>
      <c r="D9">
        <v>1</v>
      </c>
      <c r="G9" s="6">
        <v>2015</v>
      </c>
      <c r="H9" s="8">
        <v>14</v>
      </c>
    </row>
    <row r="10" spans="1:9">
      <c r="A10" t="s">
        <v>68</v>
      </c>
      <c r="B10" t="s">
        <v>69</v>
      </c>
      <c r="C10">
        <v>2019</v>
      </c>
      <c r="D10">
        <v>1</v>
      </c>
      <c r="G10" s="6">
        <v>2016</v>
      </c>
      <c r="H10" s="8">
        <v>5</v>
      </c>
    </row>
    <row r="11" spans="1:9">
      <c r="A11" t="s">
        <v>72</v>
      </c>
      <c r="B11" t="s">
        <v>73</v>
      </c>
      <c r="C11">
        <v>2015</v>
      </c>
      <c r="D11">
        <v>1</v>
      </c>
      <c r="G11" s="6">
        <v>2017</v>
      </c>
      <c r="H11" s="8">
        <v>19</v>
      </c>
    </row>
    <row r="12" spans="1:9">
      <c r="A12" t="s">
        <v>74</v>
      </c>
      <c r="B12" t="s">
        <v>75</v>
      </c>
      <c r="C12">
        <v>2018</v>
      </c>
      <c r="D12">
        <v>1</v>
      </c>
      <c r="G12" s="6">
        <v>2018</v>
      </c>
      <c r="H12" s="8">
        <v>43</v>
      </c>
    </row>
    <row r="13" spans="1:9">
      <c r="A13" t="s">
        <v>78</v>
      </c>
      <c r="B13" t="s">
        <v>79</v>
      </c>
      <c r="C13">
        <v>2017</v>
      </c>
      <c r="D13">
        <v>1</v>
      </c>
      <c r="G13" s="6">
        <v>2019</v>
      </c>
      <c r="H13" s="8">
        <v>8</v>
      </c>
    </row>
    <row r="14" spans="1:9">
      <c r="A14" t="s">
        <v>80</v>
      </c>
      <c r="B14" t="s">
        <v>81</v>
      </c>
      <c r="C14">
        <v>2014</v>
      </c>
      <c r="D14">
        <v>1</v>
      </c>
      <c r="G14" s="12" t="s">
        <v>315</v>
      </c>
      <c r="H14" s="11">
        <v>92</v>
      </c>
    </row>
    <row r="15" spans="1:9">
      <c r="A15" t="s">
        <v>84</v>
      </c>
      <c r="B15" t="s">
        <v>85</v>
      </c>
      <c r="C15">
        <v>2018</v>
      </c>
      <c r="D15">
        <v>1</v>
      </c>
    </row>
    <row r="16" spans="1:9">
      <c r="A16" t="s">
        <v>88</v>
      </c>
      <c r="B16" t="s">
        <v>89</v>
      </c>
      <c r="C16">
        <v>2019</v>
      </c>
      <c r="D16">
        <v>1</v>
      </c>
    </row>
    <row r="17" spans="1:4">
      <c r="A17" t="s">
        <v>90</v>
      </c>
      <c r="B17" t="s">
        <v>91</v>
      </c>
      <c r="C17">
        <v>2017</v>
      </c>
      <c r="D17">
        <v>1</v>
      </c>
    </row>
    <row r="18" spans="1:4">
      <c r="A18" t="s">
        <v>100</v>
      </c>
      <c r="B18" t="s">
        <v>101</v>
      </c>
      <c r="C18">
        <v>2018</v>
      </c>
      <c r="D18">
        <v>1</v>
      </c>
    </row>
    <row r="19" spans="1:4">
      <c r="A19" t="s">
        <v>102</v>
      </c>
      <c r="B19" t="s">
        <v>103</v>
      </c>
      <c r="C19">
        <v>2018</v>
      </c>
      <c r="D19">
        <v>1</v>
      </c>
    </row>
    <row r="20" spans="1:4">
      <c r="A20" t="s">
        <v>104</v>
      </c>
      <c r="B20" t="s">
        <v>105</v>
      </c>
      <c r="C20">
        <v>2018</v>
      </c>
      <c r="D20">
        <v>1</v>
      </c>
    </row>
    <row r="21" spans="1:4">
      <c r="A21" t="s">
        <v>108</v>
      </c>
      <c r="B21" t="s">
        <v>109</v>
      </c>
      <c r="C21">
        <v>2019</v>
      </c>
      <c r="D21">
        <v>1</v>
      </c>
    </row>
    <row r="22" spans="1:4">
      <c r="A22" t="s">
        <v>110</v>
      </c>
      <c r="B22" t="s">
        <v>111</v>
      </c>
      <c r="C22">
        <v>2018</v>
      </c>
      <c r="D22">
        <v>1</v>
      </c>
    </row>
    <row r="23" spans="1:4">
      <c r="A23" t="s">
        <v>112</v>
      </c>
      <c r="B23" t="s">
        <v>113</v>
      </c>
      <c r="C23">
        <v>2018</v>
      </c>
      <c r="D23">
        <v>1</v>
      </c>
    </row>
    <row r="24" spans="1:4">
      <c r="A24" t="s">
        <v>114</v>
      </c>
      <c r="B24" t="s">
        <v>115</v>
      </c>
      <c r="C24">
        <v>2019</v>
      </c>
      <c r="D24">
        <v>1</v>
      </c>
    </row>
    <row r="25" spans="1:4">
      <c r="A25" t="s">
        <v>116</v>
      </c>
      <c r="B25" t="s">
        <v>117</v>
      </c>
      <c r="C25">
        <v>2015</v>
      </c>
      <c r="D25">
        <v>1</v>
      </c>
    </row>
    <row r="26" spans="1:4">
      <c r="A26" t="s">
        <v>122</v>
      </c>
      <c r="B26" t="s">
        <v>123</v>
      </c>
      <c r="C26">
        <v>2018</v>
      </c>
      <c r="D26">
        <v>1</v>
      </c>
    </row>
    <row r="27" spans="1:4">
      <c r="A27" t="s">
        <v>124</v>
      </c>
      <c r="B27" t="s">
        <v>125</v>
      </c>
      <c r="C27">
        <v>2018</v>
      </c>
      <c r="D27">
        <v>1</v>
      </c>
    </row>
    <row r="28" spans="1:4">
      <c r="A28" t="s">
        <v>126</v>
      </c>
      <c r="B28" t="s">
        <v>127</v>
      </c>
      <c r="C28">
        <v>2016</v>
      </c>
      <c r="D28">
        <v>1</v>
      </c>
    </row>
    <row r="29" spans="1:4">
      <c r="A29" t="s">
        <v>130</v>
      </c>
      <c r="B29" t="s">
        <v>131</v>
      </c>
      <c r="C29">
        <v>2017</v>
      </c>
      <c r="D29">
        <v>1</v>
      </c>
    </row>
    <row r="30" spans="1:4">
      <c r="A30" t="s">
        <v>132</v>
      </c>
      <c r="B30" t="s">
        <v>133</v>
      </c>
      <c r="C30">
        <v>2018</v>
      </c>
      <c r="D30">
        <v>1</v>
      </c>
    </row>
    <row r="31" spans="1:4">
      <c r="A31" t="s">
        <v>136</v>
      </c>
      <c r="B31" t="s">
        <v>137</v>
      </c>
      <c r="C31">
        <v>2018</v>
      </c>
      <c r="D31">
        <v>1</v>
      </c>
    </row>
    <row r="32" spans="1:4">
      <c r="A32" t="s">
        <v>142</v>
      </c>
      <c r="B32" t="s">
        <v>143</v>
      </c>
      <c r="C32">
        <v>2015</v>
      </c>
      <c r="D32">
        <v>1</v>
      </c>
    </row>
    <row r="33" spans="1:4">
      <c r="A33" t="s">
        <v>144</v>
      </c>
      <c r="B33" t="s">
        <v>145</v>
      </c>
      <c r="C33">
        <v>2018</v>
      </c>
      <c r="D33">
        <v>1</v>
      </c>
    </row>
    <row r="34" spans="1:4">
      <c r="A34" t="s">
        <v>146</v>
      </c>
      <c r="B34" t="s">
        <v>147</v>
      </c>
      <c r="C34">
        <v>2018</v>
      </c>
      <c r="D34">
        <v>1</v>
      </c>
    </row>
    <row r="35" spans="1:4">
      <c r="A35" t="s">
        <v>148</v>
      </c>
      <c r="B35" t="s">
        <v>149</v>
      </c>
      <c r="C35">
        <v>2018</v>
      </c>
      <c r="D35">
        <v>1</v>
      </c>
    </row>
    <row r="36" spans="1:4">
      <c r="A36" t="s">
        <v>154</v>
      </c>
      <c r="B36" t="s">
        <v>155</v>
      </c>
      <c r="C36">
        <v>2018</v>
      </c>
      <c r="D36">
        <v>1</v>
      </c>
    </row>
    <row r="37" spans="1:4">
      <c r="A37" t="s">
        <v>158</v>
      </c>
      <c r="B37" t="s">
        <v>159</v>
      </c>
      <c r="C37">
        <v>2017</v>
      </c>
      <c r="D37">
        <v>1</v>
      </c>
    </row>
    <row r="38" spans="1:4">
      <c r="A38" t="s">
        <v>160</v>
      </c>
      <c r="B38" t="s">
        <v>161</v>
      </c>
      <c r="C38">
        <v>2015</v>
      </c>
      <c r="D38">
        <v>1</v>
      </c>
    </row>
    <row r="39" spans="1:4">
      <c r="A39" t="s">
        <v>162</v>
      </c>
      <c r="B39" t="s">
        <v>163</v>
      </c>
      <c r="C39">
        <v>2018</v>
      </c>
      <c r="D39">
        <v>1</v>
      </c>
    </row>
    <row r="40" spans="1:4">
      <c r="A40" t="s">
        <v>172</v>
      </c>
      <c r="B40" t="s">
        <v>173</v>
      </c>
      <c r="C40">
        <v>2019</v>
      </c>
      <c r="D40">
        <v>1</v>
      </c>
    </row>
    <row r="41" spans="1:4">
      <c r="A41" t="s">
        <v>178</v>
      </c>
      <c r="B41" t="s">
        <v>179</v>
      </c>
      <c r="C41">
        <v>2014</v>
      </c>
      <c r="D41">
        <v>1</v>
      </c>
    </row>
    <row r="42" spans="1:4">
      <c r="A42" t="s">
        <v>180</v>
      </c>
      <c r="B42" t="s">
        <v>181</v>
      </c>
      <c r="C42">
        <v>2018</v>
      </c>
      <c r="D42">
        <v>1</v>
      </c>
    </row>
    <row r="43" spans="1:4">
      <c r="A43" t="s">
        <v>182</v>
      </c>
      <c r="B43" t="s">
        <v>183</v>
      </c>
      <c r="C43">
        <v>2016</v>
      </c>
      <c r="D43">
        <v>1</v>
      </c>
    </row>
    <row r="44" spans="1:4">
      <c r="A44" t="s">
        <v>184</v>
      </c>
      <c r="B44" t="s">
        <v>185</v>
      </c>
      <c r="C44">
        <v>2015</v>
      </c>
      <c r="D44">
        <v>1</v>
      </c>
    </row>
    <row r="45" spans="1:4">
      <c r="A45" t="s">
        <v>186</v>
      </c>
      <c r="B45" t="s">
        <v>187</v>
      </c>
      <c r="C45">
        <v>2016</v>
      </c>
      <c r="D45">
        <v>1</v>
      </c>
    </row>
    <row r="46" spans="1:4">
      <c r="A46" t="s">
        <v>188</v>
      </c>
      <c r="B46" t="s">
        <v>189</v>
      </c>
      <c r="C46">
        <v>2017</v>
      </c>
      <c r="D46">
        <v>1</v>
      </c>
    </row>
    <row r="47" spans="1:4">
      <c r="A47" t="s">
        <v>192</v>
      </c>
      <c r="B47" t="s">
        <v>193</v>
      </c>
      <c r="C47">
        <v>2017</v>
      </c>
      <c r="D47">
        <v>1</v>
      </c>
    </row>
    <row r="48" spans="1:4">
      <c r="A48" t="s">
        <v>194</v>
      </c>
      <c r="B48" t="s">
        <v>195</v>
      </c>
      <c r="C48">
        <v>2019</v>
      </c>
      <c r="D48">
        <v>1</v>
      </c>
    </row>
    <row r="49" spans="1:4">
      <c r="A49" t="s">
        <v>196</v>
      </c>
      <c r="B49" t="s">
        <v>197</v>
      </c>
      <c r="C49">
        <v>2016</v>
      </c>
      <c r="D49">
        <v>1</v>
      </c>
    </row>
    <row r="50" spans="1:4">
      <c r="A50" t="s">
        <v>198</v>
      </c>
      <c r="B50" t="s">
        <v>199</v>
      </c>
      <c r="C50">
        <v>2017</v>
      </c>
      <c r="D50">
        <v>1</v>
      </c>
    </row>
    <row r="51" spans="1:4">
      <c r="A51" t="s">
        <v>200</v>
      </c>
      <c r="B51" t="s">
        <v>201</v>
      </c>
      <c r="C51">
        <v>2017</v>
      </c>
      <c r="D51">
        <v>1</v>
      </c>
    </row>
    <row r="52" spans="1:4">
      <c r="A52" t="s">
        <v>202</v>
      </c>
      <c r="B52" t="s">
        <v>203</v>
      </c>
      <c r="C52">
        <v>2017</v>
      </c>
      <c r="D52">
        <v>1</v>
      </c>
    </row>
    <row r="53" spans="1:4">
      <c r="A53" t="s">
        <v>204</v>
      </c>
      <c r="B53" t="s">
        <v>205</v>
      </c>
      <c r="C53">
        <v>2017</v>
      </c>
      <c r="D53">
        <v>1</v>
      </c>
    </row>
    <row r="54" spans="1:4">
      <c r="A54" t="s">
        <v>208</v>
      </c>
      <c r="B54" t="s">
        <v>209</v>
      </c>
      <c r="C54">
        <v>2015</v>
      </c>
      <c r="D54">
        <v>1</v>
      </c>
    </row>
    <row r="55" spans="1:4">
      <c r="A55" t="s">
        <v>210</v>
      </c>
      <c r="B55" t="s">
        <v>211</v>
      </c>
      <c r="C55">
        <v>2018</v>
      </c>
      <c r="D55">
        <v>1</v>
      </c>
    </row>
    <row r="56" spans="1:4">
      <c r="A56" t="s">
        <v>212</v>
      </c>
      <c r="B56" t="s">
        <v>213</v>
      </c>
      <c r="C56">
        <v>2017</v>
      </c>
      <c r="D56">
        <v>1</v>
      </c>
    </row>
    <row r="57" spans="1:4">
      <c r="A57" t="s">
        <v>214</v>
      </c>
      <c r="B57" t="s">
        <v>215</v>
      </c>
      <c r="C57">
        <v>2018</v>
      </c>
      <c r="D57">
        <v>1</v>
      </c>
    </row>
    <row r="58" spans="1:4">
      <c r="A58" t="s">
        <v>220</v>
      </c>
      <c r="B58" t="s">
        <v>221</v>
      </c>
      <c r="C58">
        <v>2017</v>
      </c>
      <c r="D58">
        <v>1</v>
      </c>
    </row>
    <row r="59" spans="1:4">
      <c r="A59" t="s">
        <v>222</v>
      </c>
      <c r="B59" t="s">
        <v>223</v>
      </c>
      <c r="C59">
        <v>2018</v>
      </c>
      <c r="D59">
        <v>1</v>
      </c>
    </row>
    <row r="60" spans="1:4">
      <c r="A60" t="s">
        <v>224</v>
      </c>
      <c r="B60" t="s">
        <v>225</v>
      </c>
      <c r="C60">
        <v>2018</v>
      </c>
      <c r="D60">
        <v>1</v>
      </c>
    </row>
    <row r="61" spans="1:4">
      <c r="A61" t="s">
        <v>226</v>
      </c>
      <c r="B61" t="s">
        <v>227</v>
      </c>
      <c r="C61">
        <v>2018</v>
      </c>
      <c r="D61">
        <v>1</v>
      </c>
    </row>
    <row r="62" spans="1:4">
      <c r="A62" t="s">
        <v>234</v>
      </c>
      <c r="B62" t="s">
        <v>235</v>
      </c>
      <c r="C62">
        <v>2017</v>
      </c>
      <c r="D62">
        <v>1</v>
      </c>
    </row>
    <row r="63" spans="1:4">
      <c r="A63" t="s">
        <v>236</v>
      </c>
      <c r="B63" t="s">
        <v>237</v>
      </c>
      <c r="C63">
        <v>2018</v>
      </c>
      <c r="D63">
        <v>1</v>
      </c>
    </row>
    <row r="64" spans="1:4">
      <c r="A64" t="s">
        <v>238</v>
      </c>
      <c r="B64" t="s">
        <v>239</v>
      </c>
      <c r="C64">
        <v>2017</v>
      </c>
      <c r="D64">
        <v>1</v>
      </c>
    </row>
    <row r="65" spans="1:4">
      <c r="A65" t="s">
        <v>240</v>
      </c>
      <c r="B65" t="s">
        <v>241</v>
      </c>
      <c r="C65">
        <v>2019</v>
      </c>
      <c r="D65">
        <v>1</v>
      </c>
    </row>
    <row r="66" spans="1:4">
      <c r="A66" t="s">
        <v>242</v>
      </c>
      <c r="B66" t="s">
        <v>243</v>
      </c>
      <c r="C66">
        <v>2018</v>
      </c>
      <c r="D66">
        <v>1</v>
      </c>
    </row>
    <row r="67" spans="1:4">
      <c r="A67" t="s">
        <v>246</v>
      </c>
      <c r="B67" t="s">
        <v>247</v>
      </c>
      <c r="C67">
        <v>2015</v>
      </c>
      <c r="D67">
        <v>1</v>
      </c>
    </row>
    <row r="68" spans="1:4">
      <c r="A68" t="s">
        <v>248</v>
      </c>
      <c r="B68" t="s">
        <v>249</v>
      </c>
      <c r="C68">
        <v>2018</v>
      </c>
      <c r="D68">
        <v>1</v>
      </c>
    </row>
    <row r="69" spans="1:4">
      <c r="A69" t="s">
        <v>254</v>
      </c>
      <c r="B69" t="s">
        <v>255</v>
      </c>
      <c r="C69">
        <v>2014</v>
      </c>
      <c r="D69">
        <v>1</v>
      </c>
    </row>
    <row r="70" spans="1:4">
      <c r="A70" t="s">
        <v>256</v>
      </c>
      <c r="B70" t="s">
        <v>257</v>
      </c>
      <c r="C70">
        <v>2015</v>
      </c>
      <c r="D70">
        <v>1</v>
      </c>
    </row>
    <row r="71" spans="1:4">
      <c r="A71" t="s">
        <v>258</v>
      </c>
      <c r="B71" t="s">
        <v>259</v>
      </c>
      <c r="C71">
        <v>2018</v>
      </c>
      <c r="D71">
        <v>1</v>
      </c>
    </row>
    <row r="72" spans="1:4">
      <c r="A72" t="s">
        <v>260</v>
      </c>
      <c r="B72" t="s">
        <v>261</v>
      </c>
      <c r="C72">
        <v>2016</v>
      </c>
      <c r="D72">
        <v>1</v>
      </c>
    </row>
    <row r="73" spans="1:4">
      <c r="A73" t="s">
        <v>262</v>
      </c>
      <c r="B73" t="s">
        <v>263</v>
      </c>
      <c r="C73">
        <v>2018</v>
      </c>
      <c r="D73">
        <v>1</v>
      </c>
    </row>
    <row r="74" spans="1:4">
      <c r="A74" t="s">
        <v>264</v>
      </c>
      <c r="B74" t="s">
        <v>265</v>
      </c>
      <c r="C74">
        <v>2017</v>
      </c>
      <c r="D74">
        <v>1</v>
      </c>
    </row>
    <row r="75" spans="1:4">
      <c r="A75" t="s">
        <v>266</v>
      </c>
      <c r="B75" t="s">
        <v>267</v>
      </c>
      <c r="C75">
        <v>2019</v>
      </c>
      <c r="D75">
        <v>1</v>
      </c>
    </row>
    <row r="76" spans="1:4">
      <c r="A76" t="s">
        <v>268</v>
      </c>
      <c r="B76" t="s">
        <v>269</v>
      </c>
      <c r="C76">
        <v>2018</v>
      </c>
      <c r="D76">
        <v>1</v>
      </c>
    </row>
    <row r="77" spans="1:4">
      <c r="A77" t="s">
        <v>272</v>
      </c>
      <c r="B77" t="s">
        <v>273</v>
      </c>
      <c r="C77">
        <v>2018</v>
      </c>
      <c r="D77">
        <v>1</v>
      </c>
    </row>
    <row r="78" spans="1:4">
      <c r="A78" t="s">
        <v>274</v>
      </c>
      <c r="B78" t="s">
        <v>275</v>
      </c>
      <c r="C78">
        <v>2015</v>
      </c>
      <c r="D78">
        <v>1</v>
      </c>
    </row>
    <row r="79" spans="1:4">
      <c r="A79" t="s">
        <v>276</v>
      </c>
      <c r="B79" t="s">
        <v>277</v>
      </c>
      <c r="C79">
        <v>2017</v>
      </c>
      <c r="D79">
        <v>1</v>
      </c>
    </row>
    <row r="80" spans="1:4">
      <c r="A80" t="s">
        <v>282</v>
      </c>
      <c r="B80" t="s">
        <v>283</v>
      </c>
      <c r="C80">
        <v>2018</v>
      </c>
      <c r="D80">
        <v>1</v>
      </c>
    </row>
    <row r="81" spans="1:4">
      <c r="A81" t="s">
        <v>284</v>
      </c>
      <c r="B81" t="s">
        <v>285</v>
      </c>
      <c r="C81">
        <v>2018</v>
      </c>
      <c r="D81">
        <v>1</v>
      </c>
    </row>
    <row r="82" spans="1:4">
      <c r="A82" t="s">
        <v>286</v>
      </c>
      <c r="B82" t="s">
        <v>287</v>
      </c>
      <c r="C82">
        <v>2017</v>
      </c>
      <c r="D82">
        <v>1</v>
      </c>
    </row>
    <row r="83" spans="1:4">
      <c r="A83" t="s">
        <v>288</v>
      </c>
      <c r="B83" t="s">
        <v>289</v>
      </c>
      <c r="C83">
        <v>2018</v>
      </c>
      <c r="D83">
        <v>1</v>
      </c>
    </row>
    <row r="84" spans="1:4">
      <c r="A84" t="s">
        <v>290</v>
      </c>
      <c r="B84" t="s">
        <v>291</v>
      </c>
      <c r="C84">
        <v>2015</v>
      </c>
      <c r="D84">
        <v>1</v>
      </c>
    </row>
    <row r="85" spans="1:4">
      <c r="A85" t="s">
        <v>292</v>
      </c>
      <c r="B85" t="s">
        <v>293</v>
      </c>
      <c r="C85">
        <v>2018</v>
      </c>
      <c r="D85">
        <v>1</v>
      </c>
    </row>
    <row r="86" spans="1:4">
      <c r="A86" t="s">
        <v>294</v>
      </c>
      <c r="B86" t="s">
        <v>295</v>
      </c>
      <c r="C86">
        <v>2018</v>
      </c>
      <c r="D86">
        <v>1</v>
      </c>
    </row>
    <row r="87" spans="1:4">
      <c r="A87" t="s">
        <v>296</v>
      </c>
      <c r="B87" t="s">
        <v>297</v>
      </c>
      <c r="C87">
        <v>2015</v>
      </c>
      <c r="D87">
        <v>1</v>
      </c>
    </row>
    <row r="88" spans="1:4">
      <c r="A88" t="s">
        <v>298</v>
      </c>
      <c r="B88" t="s">
        <v>299</v>
      </c>
      <c r="C88">
        <v>2018</v>
      </c>
      <c r="D88">
        <v>1</v>
      </c>
    </row>
    <row r="89" spans="1:4">
      <c r="A89" t="s">
        <v>304</v>
      </c>
      <c r="B89" t="s">
        <v>305</v>
      </c>
      <c r="C89">
        <v>2017</v>
      </c>
      <c r="D89">
        <v>1</v>
      </c>
    </row>
    <row r="90" spans="1:4">
      <c r="A90" t="s">
        <v>306</v>
      </c>
      <c r="B90" t="s">
        <v>307</v>
      </c>
      <c r="C90">
        <v>2018</v>
      </c>
      <c r="D90">
        <v>1</v>
      </c>
    </row>
    <row r="91" spans="1:4">
      <c r="A91" t="s">
        <v>308</v>
      </c>
      <c r="B91" t="s">
        <v>309</v>
      </c>
      <c r="C91">
        <v>2015</v>
      </c>
      <c r="D91">
        <v>1</v>
      </c>
    </row>
    <row r="92" spans="1:4">
      <c r="A92" t="s">
        <v>310</v>
      </c>
      <c r="B92" t="s">
        <v>311</v>
      </c>
      <c r="C92">
        <v>2018</v>
      </c>
      <c r="D92">
        <v>1</v>
      </c>
    </row>
    <row r="93" spans="1:4">
      <c r="A93" t="s">
        <v>312</v>
      </c>
      <c r="B93" t="s">
        <v>313</v>
      </c>
      <c r="C93">
        <v>2018</v>
      </c>
      <c r="D93">
        <v>1</v>
      </c>
    </row>
    <row r="94" spans="1:4">
      <c r="A94" t="s">
        <v>48</v>
      </c>
      <c r="B94" t="s">
        <v>49</v>
      </c>
      <c r="D94">
        <v>0</v>
      </c>
    </row>
    <row r="95" spans="1:4">
      <c r="A95" t="s">
        <v>52</v>
      </c>
      <c r="B95" t="s">
        <v>53</v>
      </c>
      <c r="D95">
        <v>0</v>
      </c>
    </row>
    <row r="96" spans="1:4">
      <c r="A96" t="s">
        <v>58</v>
      </c>
      <c r="B96" t="s">
        <v>59</v>
      </c>
      <c r="D96">
        <v>0</v>
      </c>
    </row>
    <row r="97" spans="1:4">
      <c r="A97" t="s">
        <v>66</v>
      </c>
      <c r="B97" t="s">
        <v>67</v>
      </c>
      <c r="D97">
        <v>0</v>
      </c>
    </row>
    <row r="98" spans="1:4">
      <c r="A98" t="s">
        <v>70</v>
      </c>
      <c r="B98" t="s">
        <v>71</v>
      </c>
      <c r="D98">
        <v>0</v>
      </c>
    </row>
    <row r="99" spans="1:4">
      <c r="A99" t="s">
        <v>76</v>
      </c>
      <c r="B99" t="s">
        <v>77</v>
      </c>
      <c r="D99">
        <v>0</v>
      </c>
    </row>
    <row r="100" spans="1:4">
      <c r="A100" t="s">
        <v>82</v>
      </c>
      <c r="B100" t="s">
        <v>83</v>
      </c>
      <c r="D100">
        <v>0</v>
      </c>
    </row>
    <row r="101" spans="1:4">
      <c r="A101" t="s">
        <v>86</v>
      </c>
      <c r="B101" t="s">
        <v>87</v>
      </c>
      <c r="D101">
        <v>0</v>
      </c>
    </row>
    <row r="102" spans="1:4">
      <c r="A102" t="s">
        <v>92</v>
      </c>
      <c r="B102" t="s">
        <v>93</v>
      </c>
      <c r="D102">
        <v>0</v>
      </c>
    </row>
    <row r="103" spans="1:4">
      <c r="A103" t="s">
        <v>94</v>
      </c>
      <c r="B103" t="s">
        <v>95</v>
      </c>
      <c r="D103">
        <v>0</v>
      </c>
    </row>
    <row r="104" spans="1:4">
      <c r="A104" t="s">
        <v>96</v>
      </c>
      <c r="B104" t="s">
        <v>97</v>
      </c>
      <c r="D104">
        <v>0</v>
      </c>
    </row>
    <row r="105" spans="1:4">
      <c r="A105" t="s">
        <v>98</v>
      </c>
      <c r="B105" t="s">
        <v>99</v>
      </c>
      <c r="D105">
        <v>0</v>
      </c>
    </row>
    <row r="106" spans="1:4">
      <c r="A106" t="s">
        <v>106</v>
      </c>
      <c r="B106" t="s">
        <v>107</v>
      </c>
      <c r="D106">
        <v>0</v>
      </c>
    </row>
    <row r="107" spans="1:4">
      <c r="A107" t="s">
        <v>118</v>
      </c>
      <c r="B107" t="s">
        <v>119</v>
      </c>
      <c r="D107">
        <v>0</v>
      </c>
    </row>
    <row r="108" spans="1:4">
      <c r="A108" t="s">
        <v>120</v>
      </c>
      <c r="B108" t="s">
        <v>121</v>
      </c>
      <c r="D108">
        <v>0</v>
      </c>
    </row>
    <row r="109" spans="1:4">
      <c r="A109" t="s">
        <v>128</v>
      </c>
      <c r="B109" t="s">
        <v>129</v>
      </c>
      <c r="D109">
        <v>0</v>
      </c>
    </row>
    <row r="110" spans="1:4">
      <c r="A110" t="s">
        <v>134</v>
      </c>
      <c r="B110" t="s">
        <v>135</v>
      </c>
      <c r="D110">
        <v>0</v>
      </c>
    </row>
    <row r="111" spans="1:4">
      <c r="A111" t="s">
        <v>138</v>
      </c>
      <c r="B111" t="s">
        <v>139</v>
      </c>
      <c r="D111">
        <v>0</v>
      </c>
    </row>
    <row r="112" spans="1:4">
      <c r="A112" t="s">
        <v>140</v>
      </c>
      <c r="B112" t="s">
        <v>141</v>
      </c>
      <c r="D112">
        <v>0</v>
      </c>
    </row>
    <row r="113" spans="1:4">
      <c r="A113" t="s">
        <v>150</v>
      </c>
      <c r="B113" t="s">
        <v>151</v>
      </c>
      <c r="D113">
        <v>0</v>
      </c>
    </row>
    <row r="114" spans="1:4">
      <c r="A114" t="s">
        <v>152</v>
      </c>
      <c r="B114" t="s">
        <v>153</v>
      </c>
      <c r="D114">
        <v>0</v>
      </c>
    </row>
    <row r="115" spans="1:4">
      <c r="A115" t="s">
        <v>156</v>
      </c>
      <c r="B115" t="s">
        <v>157</v>
      </c>
      <c r="D115">
        <v>0</v>
      </c>
    </row>
    <row r="116" spans="1:4">
      <c r="A116" t="s">
        <v>164</v>
      </c>
      <c r="B116" t="s">
        <v>165</v>
      </c>
      <c r="D116">
        <v>0</v>
      </c>
    </row>
    <row r="117" spans="1:4">
      <c r="A117" t="s">
        <v>166</v>
      </c>
      <c r="B117" t="s">
        <v>167</v>
      </c>
      <c r="D117">
        <v>0</v>
      </c>
    </row>
    <row r="118" spans="1:4">
      <c r="A118" t="s">
        <v>168</v>
      </c>
      <c r="B118" t="s">
        <v>169</v>
      </c>
      <c r="D118">
        <v>0</v>
      </c>
    </row>
    <row r="119" spans="1:4">
      <c r="A119" t="s">
        <v>170</v>
      </c>
      <c r="B119" t="s">
        <v>171</v>
      </c>
      <c r="D119">
        <v>0</v>
      </c>
    </row>
    <row r="120" spans="1:4">
      <c r="A120" t="s">
        <v>174</v>
      </c>
      <c r="B120" t="s">
        <v>175</v>
      </c>
      <c r="D120">
        <v>0</v>
      </c>
    </row>
    <row r="121" spans="1:4">
      <c r="A121" t="s">
        <v>176</v>
      </c>
      <c r="B121" t="s">
        <v>177</v>
      </c>
      <c r="D121">
        <v>0</v>
      </c>
    </row>
    <row r="122" spans="1:4">
      <c r="A122" t="s">
        <v>190</v>
      </c>
      <c r="B122" t="s">
        <v>191</v>
      </c>
      <c r="D122">
        <v>0</v>
      </c>
    </row>
    <row r="123" spans="1:4">
      <c r="A123" t="s">
        <v>206</v>
      </c>
      <c r="B123" t="s">
        <v>207</v>
      </c>
      <c r="D123">
        <v>0</v>
      </c>
    </row>
    <row r="124" spans="1:4">
      <c r="A124" t="s">
        <v>216</v>
      </c>
      <c r="B124" t="s">
        <v>217</v>
      </c>
      <c r="D124">
        <v>0</v>
      </c>
    </row>
    <row r="125" spans="1:4">
      <c r="A125" t="s">
        <v>218</v>
      </c>
      <c r="B125" t="s">
        <v>219</v>
      </c>
      <c r="D125">
        <v>0</v>
      </c>
    </row>
    <row r="126" spans="1:4">
      <c r="A126" t="s">
        <v>228</v>
      </c>
      <c r="B126" t="s">
        <v>229</v>
      </c>
      <c r="D126">
        <v>0</v>
      </c>
    </row>
    <row r="127" spans="1:4">
      <c r="A127" t="s">
        <v>230</v>
      </c>
      <c r="B127" t="s">
        <v>231</v>
      </c>
      <c r="D127">
        <v>0</v>
      </c>
    </row>
    <row r="128" spans="1:4">
      <c r="A128" t="s">
        <v>232</v>
      </c>
      <c r="B128" t="s">
        <v>233</v>
      </c>
      <c r="D128">
        <v>0</v>
      </c>
    </row>
    <row r="129" spans="1:4">
      <c r="A129" t="s">
        <v>244</v>
      </c>
      <c r="B129" t="s">
        <v>245</v>
      </c>
      <c r="D129">
        <v>0</v>
      </c>
    </row>
    <row r="130" spans="1:4">
      <c r="A130" t="s">
        <v>250</v>
      </c>
      <c r="B130" t="s">
        <v>251</v>
      </c>
      <c r="D130">
        <v>0</v>
      </c>
    </row>
    <row r="131" spans="1:4">
      <c r="A131" t="s">
        <v>252</v>
      </c>
      <c r="B131" t="s">
        <v>253</v>
      </c>
      <c r="D131">
        <v>0</v>
      </c>
    </row>
    <row r="132" spans="1:4">
      <c r="A132" t="s">
        <v>270</v>
      </c>
      <c r="B132" t="s">
        <v>271</v>
      </c>
      <c r="D132">
        <v>0</v>
      </c>
    </row>
    <row r="133" spans="1:4">
      <c r="A133" t="s">
        <v>278</v>
      </c>
      <c r="B133" t="s">
        <v>279</v>
      </c>
      <c r="D133">
        <v>0</v>
      </c>
    </row>
    <row r="134" spans="1:4">
      <c r="A134" t="s">
        <v>280</v>
      </c>
      <c r="B134" t="s">
        <v>281</v>
      </c>
      <c r="D134">
        <v>0</v>
      </c>
    </row>
    <row r="135" spans="1:4">
      <c r="A135" t="s">
        <v>300</v>
      </c>
      <c r="B135" t="s">
        <v>301</v>
      </c>
      <c r="D135">
        <v>0</v>
      </c>
    </row>
    <row r="136" spans="1:4">
      <c r="A136" t="s">
        <v>302</v>
      </c>
      <c r="B136" t="s">
        <v>303</v>
      </c>
      <c r="D136">
        <v>0</v>
      </c>
    </row>
  </sheetData>
  <sortState xmlns:xlrd2="http://schemas.microsoft.com/office/spreadsheetml/2017/richdata2" ref="A2:D136">
    <sortCondition descending="1" ref="D1:D1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26E5-6120-4D31-A635-973FC74723C7}">
  <dimension ref="A2:F34"/>
  <sheetViews>
    <sheetView workbookViewId="0">
      <selection activeCell="F10" sqref="F10"/>
    </sheetView>
  </sheetViews>
  <sheetFormatPr defaultRowHeight="14.4"/>
  <cols>
    <col min="1" max="1" width="26.21875" bestFit="1" customWidth="1"/>
    <col min="2" max="2" width="9.44140625" bestFit="1" customWidth="1"/>
    <col min="4" max="4" width="9.4414062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"ln (import)"</f>
        <v>ln (import)</v>
      </c>
      <c r="C3" t="str">
        <f>"ln (import)"</f>
        <v>ln (import)</v>
      </c>
      <c r="D3" t="str">
        <f>"ln (import)"</f>
        <v>ln (import)</v>
      </c>
    </row>
    <row r="5" spans="1:6">
      <c r="A5" t="str">
        <f>"ln (captial distance)"</f>
        <v>ln (captial distance)</v>
      </c>
      <c r="B5" t="str">
        <f>"-1.663***"</f>
        <v>-1.663***</v>
      </c>
      <c r="C5" t="str">
        <f>"-1.547***"</f>
        <v>-1.547***</v>
      </c>
      <c r="D5" t="str">
        <f>"-1.473***"</f>
        <v>-1.473***</v>
      </c>
    </row>
    <row r="6" spans="1:6">
      <c r="A6" t="str">
        <f>""</f>
        <v/>
      </c>
      <c r="B6" t="str">
        <f>"(0.00851)"</f>
        <v>(0.00851)</v>
      </c>
      <c r="C6" t="str">
        <f>"(0.00919)"</f>
        <v>(0.00919)</v>
      </c>
      <c r="D6" t="str">
        <f>"(0.0101)"</f>
        <v>(0.0101)</v>
      </c>
    </row>
    <row r="8" spans="1:6">
      <c r="A8" t="str">
        <f>"ln (country's GDP)"</f>
        <v>ln (country's GDP)</v>
      </c>
      <c r="B8" t="str">
        <f>"0.626***"</f>
        <v>0.626***</v>
      </c>
      <c r="C8" t="str">
        <f>"0.638***"</f>
        <v>0.638***</v>
      </c>
      <c r="D8" t="str">
        <f>"0.638***"</f>
        <v>0.638***</v>
      </c>
      <c r="F8" s="1" t="s">
        <v>4</v>
      </c>
    </row>
    <row r="9" spans="1:6">
      <c r="A9" t="str">
        <f>""</f>
        <v/>
      </c>
      <c r="B9" t="str">
        <f>"(0.0513)"</f>
        <v>(0.0513)</v>
      </c>
      <c r="C9" t="str">
        <f>"(0.0511)"</f>
        <v>(0.0511)</v>
      </c>
      <c r="D9" t="str">
        <f>"(0.0507)"</f>
        <v>(0.0507)</v>
      </c>
      <c r="F9" s="1" t="s">
        <v>6</v>
      </c>
    </row>
    <row r="11" spans="1:6">
      <c r="A11" t="str">
        <f>"ln (partner's GDP)"</f>
        <v>ln (partner's GDP)</v>
      </c>
      <c r="B11" t="str">
        <f>"0.322***"</f>
        <v>0.322***</v>
      </c>
      <c r="C11" t="str">
        <f>"0.332***"</f>
        <v>0.332***</v>
      </c>
      <c r="D11" t="str">
        <f>"0.331***"</f>
        <v>0.331***</v>
      </c>
    </row>
    <row r="12" spans="1:6">
      <c r="A12" t="str">
        <f>""</f>
        <v/>
      </c>
      <c r="B12" t="str">
        <f>"(0.0554)"</f>
        <v>(0.0554)</v>
      </c>
      <c r="C12" t="str">
        <f>"(0.0553)"</f>
        <v>(0.0553)</v>
      </c>
      <c r="D12" t="str">
        <f>"(0.0549)"</f>
        <v>(0.0549)</v>
      </c>
    </row>
    <row r="14" spans="1:6">
      <c r="A14" t="str">
        <f>"RTA"</f>
        <v>RTA</v>
      </c>
      <c r="B14" t="str">
        <f>""</f>
        <v/>
      </c>
      <c r="C14" t="str">
        <f>"0.481***"</f>
        <v>0.481***</v>
      </c>
      <c r="D14" t="str">
        <f>"0.469***"</f>
        <v>0.469***</v>
      </c>
    </row>
    <row r="15" spans="1:6">
      <c r="A15" t="str">
        <f>""</f>
        <v/>
      </c>
      <c r="B15" t="str">
        <f>""</f>
        <v/>
      </c>
      <c r="C15" t="str">
        <f>"(0.0149)"</f>
        <v>(0.0149)</v>
      </c>
      <c r="D15" t="str">
        <f>"(0.0148)"</f>
        <v>(0.0148)</v>
      </c>
    </row>
    <row r="17" spans="1:4">
      <c r="A17" t="str">
        <f>"col45"</f>
        <v>col45</v>
      </c>
      <c r="B17" t="str">
        <f>""</f>
        <v/>
      </c>
      <c r="C17" t="str">
        <f>""</f>
        <v/>
      </c>
      <c r="D17" t="str">
        <f>"1.613***"</f>
        <v>1.613***</v>
      </c>
    </row>
    <row r="18" spans="1:4">
      <c r="A18" t="str">
        <f>""</f>
        <v/>
      </c>
      <c r="B18" t="str">
        <f>""</f>
        <v/>
      </c>
      <c r="C18" t="str">
        <f>""</f>
        <v/>
      </c>
      <c r="D18" t="str">
        <f>"(0.0531)"</f>
        <v>(0.0531)</v>
      </c>
    </row>
    <row r="20" spans="1:4">
      <c r="A20" t="str">
        <f>"Contiguity"</f>
        <v>Contiguity</v>
      </c>
      <c r="B20" t="str">
        <f>""</f>
        <v/>
      </c>
      <c r="C20" t="str">
        <f>""</f>
        <v/>
      </c>
      <c r="D20" t="str">
        <f>"0.474***"</f>
        <v>0.474***</v>
      </c>
    </row>
    <row r="21" spans="1:4">
      <c r="A21" t="str">
        <f>""</f>
        <v/>
      </c>
      <c r="B21" t="str">
        <f>""</f>
        <v/>
      </c>
      <c r="C21" t="str">
        <f>""</f>
        <v/>
      </c>
      <c r="D21" t="str">
        <f>"(0.0420)"</f>
        <v>(0.0420)</v>
      </c>
    </row>
    <row r="23" spans="1:4">
      <c r="A23" t="str">
        <f>"comleg_posttrans"</f>
        <v>comleg_posttrans</v>
      </c>
      <c r="B23" t="str">
        <f>""</f>
        <v/>
      </c>
      <c r="C23" t="str">
        <f>""</f>
        <v/>
      </c>
      <c r="D23" t="str">
        <f>"0.339***"</f>
        <v>0.339***</v>
      </c>
    </row>
    <row r="24" spans="1:4">
      <c r="A24" t="str">
        <f>""</f>
        <v/>
      </c>
      <c r="B24" t="str">
        <f>""</f>
        <v/>
      </c>
      <c r="C24" t="str">
        <f>""</f>
        <v/>
      </c>
      <c r="D24" t="str">
        <f>"(0.0129)"</f>
        <v>(0.0129)</v>
      </c>
    </row>
    <row r="26" spans="1:4">
      <c r="A26" t="str">
        <f>"Constant"</f>
        <v>Constant</v>
      </c>
      <c r="B26" t="str">
        <f>"3.346*"</f>
        <v>3.346*</v>
      </c>
      <c r="C26" t="str">
        <f>"1.969"</f>
        <v>1.969</v>
      </c>
      <c r="D26" t="str">
        <f>"1.095"</f>
        <v>1.095</v>
      </c>
    </row>
    <row r="27" spans="1:4">
      <c r="A27" t="str">
        <f>""</f>
        <v/>
      </c>
      <c r="B27" t="str">
        <f>"(1.964)"</f>
        <v>(1.964)</v>
      </c>
      <c r="C27" t="str">
        <f>"(1.957)"</f>
        <v>(1.957)</v>
      </c>
      <c r="D27" t="str">
        <f>"(1.942)"</f>
        <v>(1.942)</v>
      </c>
    </row>
    <row r="29" spans="1:4">
      <c r="A29" t="str">
        <f>"Observations"</f>
        <v>Observations</v>
      </c>
      <c r="B29" t="str">
        <f>"112431"</f>
        <v>112431</v>
      </c>
      <c r="C29" t="str">
        <f>"112431"</f>
        <v>112431</v>
      </c>
      <c r="D29" t="str">
        <f>"112431"</f>
        <v>112431</v>
      </c>
    </row>
    <row r="30" spans="1:4">
      <c r="A30" t="str">
        <f>"R-squared"</f>
        <v>R-squared</v>
      </c>
      <c r="B30" t="str">
        <f>"0.761"</f>
        <v>0.761</v>
      </c>
      <c r="C30" t="str">
        <f>"0.763"</f>
        <v>0.763</v>
      </c>
      <c r="D30" t="str">
        <f>"0.767"</f>
        <v>0.767</v>
      </c>
    </row>
    <row r="31" spans="1:4">
      <c r="A31" t="str">
        <f>"AIC"</f>
        <v>AIC</v>
      </c>
      <c r="B31" t="str">
        <f>"455160.6"</f>
        <v>455160.6</v>
      </c>
      <c r="C31" t="str">
        <f>"454115.7"</f>
        <v>454115.7</v>
      </c>
      <c r="D31" t="str">
        <f>"452075.8"</f>
        <v>452075.8</v>
      </c>
    </row>
    <row r="33" spans="1:3">
      <c r="A33" t="str">
        <f>"Standard errors in parentheses"</f>
        <v>Standard errors in parentheses</v>
      </c>
    </row>
    <row r="34" spans="1:3">
      <c r="A34" t="s">
        <v>0</v>
      </c>
      <c r="B34" t="s">
        <v>1</v>
      </c>
      <c r="C34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77AC-293F-4A58-B0FC-C163163E650C}">
  <dimension ref="A2:F34"/>
  <sheetViews>
    <sheetView workbookViewId="0">
      <selection activeCell="F28" sqref="F28"/>
    </sheetView>
  </sheetViews>
  <sheetFormatPr defaultRowHeight="14.4"/>
  <cols>
    <col min="1" max="1" width="26.21875" bestFit="1" customWidth="1"/>
    <col min="2" max="4" width="11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"Import"</f>
        <v>Import</v>
      </c>
      <c r="C3" t="str">
        <f>"Import"</f>
        <v>Import</v>
      </c>
      <c r="D3" t="str">
        <f>"Import"</f>
        <v>Import</v>
      </c>
    </row>
    <row r="5" spans="1:6">
      <c r="A5" t="str">
        <f>"ln (captial distance)"</f>
        <v>ln (captial distance)</v>
      </c>
      <c r="B5" t="str">
        <f>"-0.933***"</f>
        <v>-0.933***</v>
      </c>
      <c r="C5" t="str">
        <f>"-0.843***"</f>
        <v>-0.843***</v>
      </c>
      <c r="D5" t="str">
        <f>"-0.699***"</f>
        <v>-0.699***</v>
      </c>
    </row>
    <row r="6" spans="1:6">
      <c r="A6" t="str">
        <f>""</f>
        <v/>
      </c>
      <c r="B6" t="str">
        <f>"(0.00933)"</f>
        <v>(0.00933)</v>
      </c>
      <c r="C6" t="str">
        <f>"(0.0115)"</f>
        <v>(0.0115)</v>
      </c>
      <c r="D6" t="str">
        <f>"(0.0118)"</f>
        <v>(0.0118)</v>
      </c>
    </row>
    <row r="8" spans="1:6">
      <c r="A8" t="str">
        <f>"ln (country's GDP)"</f>
        <v>ln (country's GDP)</v>
      </c>
      <c r="B8" t="str">
        <f>"0.551***"</f>
        <v>0.551***</v>
      </c>
      <c r="C8" t="str">
        <f>"0.555***"</f>
        <v>0.555***</v>
      </c>
      <c r="D8" t="str">
        <f>"0.547***"</f>
        <v>0.547***</v>
      </c>
      <c r="F8" s="1" t="s">
        <v>4</v>
      </c>
    </row>
    <row r="9" spans="1:6">
      <c r="A9" t="str">
        <f>""</f>
        <v/>
      </c>
      <c r="B9" t="str">
        <f>"(0.0899)"</f>
        <v>(0.0899)</v>
      </c>
      <c r="C9" t="str">
        <f>"(0.0821)"</f>
        <v>(0.0821)</v>
      </c>
      <c r="D9" t="str">
        <f>"(0.0802)"</f>
        <v>(0.0802)</v>
      </c>
      <c r="F9" s="1" t="s">
        <v>5</v>
      </c>
    </row>
    <row r="11" spans="1:6">
      <c r="A11" t="str">
        <f>"ln (partner's GDP)"</f>
        <v>ln (partner's GDP)</v>
      </c>
      <c r="B11" t="str">
        <f>"0.565***"</f>
        <v>0.565***</v>
      </c>
      <c r="C11" t="str">
        <f>"0.565***"</f>
        <v>0.565***</v>
      </c>
      <c r="D11" t="str">
        <f>"0.559***"</f>
        <v>0.559***</v>
      </c>
    </row>
    <row r="12" spans="1:6">
      <c r="A12" t="str">
        <f>""</f>
        <v/>
      </c>
      <c r="B12" t="str">
        <f>"(0.0840)"</f>
        <v>(0.0840)</v>
      </c>
      <c r="C12" t="str">
        <f>"(0.0782)"</f>
        <v>(0.0782)</v>
      </c>
      <c r="D12" t="str">
        <f>"(0.0751)"</f>
        <v>(0.0751)</v>
      </c>
    </row>
    <row r="14" spans="1:6">
      <c r="A14" t="str">
        <f>"RTA"</f>
        <v>RTA</v>
      </c>
      <c r="B14" t="str">
        <f>""</f>
        <v/>
      </c>
      <c r="C14" t="str">
        <f>"0.386***"</f>
        <v>0.386***</v>
      </c>
      <c r="D14" t="str">
        <f>"0.386***"</f>
        <v>0.386***</v>
      </c>
    </row>
    <row r="15" spans="1:6">
      <c r="A15" t="str">
        <f>""</f>
        <v/>
      </c>
      <c r="B15" t="str">
        <f>""</f>
        <v/>
      </c>
      <c r="C15" t="str">
        <f>"(0.0252)"</f>
        <v>(0.0252)</v>
      </c>
      <c r="D15" t="str">
        <f>"(0.0238)"</f>
        <v>(0.0238)</v>
      </c>
    </row>
    <row r="17" spans="1:4">
      <c r="A17" t="str">
        <f>"col45"</f>
        <v>col45</v>
      </c>
      <c r="B17" t="str">
        <f>""</f>
        <v/>
      </c>
      <c r="C17" t="str">
        <f>""</f>
        <v/>
      </c>
      <c r="D17" t="str">
        <f>"0.179***"</f>
        <v>0.179***</v>
      </c>
    </row>
    <row r="18" spans="1:4">
      <c r="A18" t="str">
        <f>""</f>
        <v/>
      </c>
      <c r="B18" t="str">
        <f>""</f>
        <v/>
      </c>
      <c r="C18" t="str">
        <f>""</f>
        <v/>
      </c>
      <c r="D18" t="str">
        <f>"(0.0636)"</f>
        <v>(0.0636)</v>
      </c>
    </row>
    <row r="20" spans="1:4">
      <c r="A20" t="str">
        <f>"Contiguity"</f>
        <v>Contiguity</v>
      </c>
      <c r="B20" t="str">
        <f>""</f>
        <v/>
      </c>
      <c r="C20" t="str">
        <f>""</f>
        <v/>
      </c>
      <c r="D20" t="str">
        <f>"0.468***"</f>
        <v>0.468***</v>
      </c>
    </row>
    <row r="21" spans="1:4">
      <c r="A21" t="str">
        <f>""</f>
        <v/>
      </c>
      <c r="B21" t="str">
        <f>""</f>
        <v/>
      </c>
      <c r="C21" t="str">
        <f>""</f>
        <v/>
      </c>
      <c r="D21" t="str">
        <f>"(0.0230)"</f>
        <v>(0.0230)</v>
      </c>
    </row>
    <row r="23" spans="1:4">
      <c r="A23" t="str">
        <f>"comleg_posttrans"</f>
        <v>comleg_posttrans</v>
      </c>
      <c r="B23" t="str">
        <f>""</f>
        <v/>
      </c>
      <c r="C23" t="str">
        <f>""</f>
        <v/>
      </c>
      <c r="D23" t="str">
        <f>"0.148***"</f>
        <v>0.148***</v>
      </c>
    </row>
    <row r="24" spans="1:4">
      <c r="A24" t="str">
        <f>""</f>
        <v/>
      </c>
      <c r="B24" t="str">
        <f>""</f>
        <v/>
      </c>
      <c r="C24" t="str">
        <f>""</f>
        <v/>
      </c>
      <c r="D24" t="str">
        <f>"(0.0133)"</f>
        <v>(0.0133)</v>
      </c>
    </row>
    <row r="26" spans="1:4">
      <c r="A26" t="str">
        <f>"Constant"</f>
        <v>Constant</v>
      </c>
      <c r="B26" t="str">
        <f>"-0.692"</f>
        <v>-0.692</v>
      </c>
      <c r="C26" t="str">
        <f>"-1.750"</f>
        <v>-1.750</v>
      </c>
      <c r="D26" t="str">
        <f>"-2.647"</f>
        <v>-2.647</v>
      </c>
    </row>
    <row r="27" spans="1:4">
      <c r="A27" t="str">
        <f>""</f>
        <v/>
      </c>
      <c r="B27" t="str">
        <f>"(3.164)"</f>
        <v>(3.164)</v>
      </c>
      <c r="C27" t="str">
        <f>"(3.044)"</f>
        <v>(3.044)</v>
      </c>
      <c r="D27" t="str">
        <f>"(2.863)"</f>
        <v>(2.863)</v>
      </c>
    </row>
    <row r="29" spans="1:4">
      <c r="A29" t="str">
        <f>"Observations"</f>
        <v>Observations</v>
      </c>
      <c r="B29" t="str">
        <f>"162810"</f>
        <v>162810</v>
      </c>
      <c r="C29" t="str">
        <f>"162810"</f>
        <v>162810</v>
      </c>
      <c r="D29" t="str">
        <f>"162810"</f>
        <v>162810</v>
      </c>
    </row>
    <row r="30" spans="1:4">
      <c r="A30" t="str">
        <f>"Pseudo R-squared"</f>
        <v>Pseudo R-squared</v>
      </c>
      <c r="B30" t="str">
        <f>"0.927"</f>
        <v>0.927</v>
      </c>
      <c r="C30" t="str">
        <f>"0.930"</f>
        <v>0.930</v>
      </c>
      <c r="D30" t="str">
        <f>"0.933"</f>
        <v>0.933</v>
      </c>
    </row>
    <row r="31" spans="1:4">
      <c r="A31" t="str">
        <f>"AIC"</f>
        <v>AIC</v>
      </c>
      <c r="B31" t="str">
        <f>"4.72326e+13"</f>
        <v>4.72326e+13</v>
      </c>
      <c r="C31" t="str">
        <f>"4.57326e+13"</f>
        <v>4.57326e+13</v>
      </c>
      <c r="D31" t="str">
        <f>"4.33081e+13"</f>
        <v>4.33081e+13</v>
      </c>
    </row>
    <row r="33" spans="1:3">
      <c r="A33" t="str">
        <f>"Standard errors in parentheses"</f>
        <v>Standard errors in parentheses</v>
      </c>
    </row>
    <row r="34" spans="1:3">
      <c r="A34" t="s">
        <v>0</v>
      </c>
      <c r="B34" t="s">
        <v>1</v>
      </c>
      <c r="C34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8906-7857-44B3-B9E8-04F5FB5E71D7}">
  <dimension ref="A2:F34"/>
  <sheetViews>
    <sheetView workbookViewId="0">
      <selection activeCell="G40" sqref="G40"/>
    </sheetView>
  </sheetViews>
  <sheetFormatPr defaultRowHeight="14.4"/>
  <cols>
    <col min="1" max="1" width="26.21875" bestFit="1" customWidth="1"/>
    <col min="2" max="4" width="11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"Import"</f>
        <v>Import</v>
      </c>
      <c r="C3" t="str">
        <f>"Import"</f>
        <v>Import</v>
      </c>
      <c r="D3" t="str">
        <f>"Import"</f>
        <v>Import</v>
      </c>
    </row>
    <row r="5" spans="1:6">
      <c r="A5" t="str">
        <f>"ln (captial distance)"</f>
        <v>ln (captial distance)</v>
      </c>
      <c r="B5" t="str">
        <f>"-0.788***"</f>
        <v>-0.788***</v>
      </c>
      <c r="C5" t="str">
        <f>"-0.691***"</f>
        <v>-0.691***</v>
      </c>
      <c r="D5" t="str">
        <f>"-0.559***"</f>
        <v>-0.559***</v>
      </c>
    </row>
    <row r="6" spans="1:6">
      <c r="A6" t="str">
        <f>""</f>
        <v/>
      </c>
      <c r="B6" t="str">
        <f>"(0.0101)"</f>
        <v>(0.0101)</v>
      </c>
      <c r="C6" t="str">
        <f>"(0.0131)"</f>
        <v>(0.0131)</v>
      </c>
      <c r="D6" t="str">
        <f>"(0.0157)"</f>
        <v>(0.0157)</v>
      </c>
    </row>
    <row r="8" spans="1:6">
      <c r="A8" t="str">
        <f>"ln (country's GDP)"</f>
        <v>ln (country's GDP)</v>
      </c>
      <c r="B8" t="str">
        <f>"0.833***"</f>
        <v>0.833***</v>
      </c>
      <c r="C8" t="str">
        <f>"0.840***"</f>
        <v>0.840***</v>
      </c>
      <c r="D8" t="str">
        <f>"0.816***"</f>
        <v>0.816***</v>
      </c>
      <c r="F8" s="1" t="s">
        <v>4</v>
      </c>
    </row>
    <row r="9" spans="1:6">
      <c r="A9" t="str">
        <f>""</f>
        <v/>
      </c>
      <c r="B9" t="str">
        <f>"(0.00866)"</f>
        <v>(0.00866)</v>
      </c>
      <c r="C9" t="str">
        <f>"(0.00872)"</f>
        <v>(0.00872)</v>
      </c>
      <c r="D9" t="str">
        <f>"(0.00673)"</f>
        <v>(0.00673)</v>
      </c>
      <c r="F9" s="1" t="s">
        <v>3</v>
      </c>
    </row>
    <row r="11" spans="1:6">
      <c r="A11" t="str">
        <f>"ln (partner's GDP)"</f>
        <v>ln (partner's GDP)</v>
      </c>
      <c r="B11" t="str">
        <f>"0.811***"</f>
        <v>0.811***</v>
      </c>
      <c r="C11" t="str">
        <f>"0.818***"</f>
        <v>0.818***</v>
      </c>
      <c r="D11" t="str">
        <f>"0.794***"</f>
        <v>0.794***</v>
      </c>
    </row>
    <row r="12" spans="1:6">
      <c r="A12" t="str">
        <f>""</f>
        <v/>
      </c>
      <c r="B12" t="str">
        <f>"(0.00596)"</f>
        <v>(0.00596)</v>
      </c>
      <c r="C12" t="str">
        <f>"(0.00590)"</f>
        <v>(0.00590)</v>
      </c>
      <c r="D12" t="str">
        <f>"(0.00607)"</f>
        <v>(0.00607)</v>
      </c>
    </row>
    <row r="14" spans="1:6">
      <c r="A14" t="str">
        <f>"RTA"</f>
        <v>RTA</v>
      </c>
      <c r="B14" t="str">
        <f>""</f>
        <v/>
      </c>
      <c r="C14" t="str">
        <f>"0.371***"</f>
        <v>0.371***</v>
      </c>
      <c r="D14" t="str">
        <f>"0.340***"</f>
        <v>0.340***</v>
      </c>
    </row>
    <row r="15" spans="1:6">
      <c r="A15" t="str">
        <f>""</f>
        <v/>
      </c>
      <c r="B15" t="str">
        <f>""</f>
        <v/>
      </c>
      <c r="C15" t="str">
        <f>"(0.0302)"</f>
        <v>(0.0302)</v>
      </c>
      <c r="D15" t="str">
        <f>"(0.0246)"</f>
        <v>(0.0246)</v>
      </c>
    </row>
    <row r="17" spans="1:4">
      <c r="A17" t="str">
        <f>"col45"</f>
        <v>col45</v>
      </c>
      <c r="B17" t="str">
        <f>""</f>
        <v/>
      </c>
      <c r="C17" t="str">
        <f>""</f>
        <v/>
      </c>
      <c r="D17" t="str">
        <f>"0.362***"</f>
        <v>0.362***</v>
      </c>
    </row>
    <row r="18" spans="1:4">
      <c r="A18" t="str">
        <f>""</f>
        <v/>
      </c>
      <c r="B18" t="str">
        <f>""</f>
        <v/>
      </c>
      <c r="C18" t="str">
        <f>""</f>
        <v/>
      </c>
      <c r="D18" t="str">
        <f>"(0.0417)"</f>
        <v>(0.0417)</v>
      </c>
    </row>
    <row r="20" spans="1:4">
      <c r="A20" t="str">
        <f>"Contiguity"</f>
        <v>Contiguity</v>
      </c>
      <c r="B20" t="str">
        <f>""</f>
        <v/>
      </c>
      <c r="C20" t="str">
        <f>""</f>
        <v/>
      </c>
      <c r="D20" t="str">
        <f>"0.637***"</f>
        <v>0.637***</v>
      </c>
    </row>
    <row r="21" spans="1:4">
      <c r="A21" t="str">
        <f>""</f>
        <v/>
      </c>
      <c r="B21" t="str">
        <f>""</f>
        <v/>
      </c>
      <c r="C21" t="str">
        <f>""</f>
        <v/>
      </c>
      <c r="D21" t="str">
        <f>"(0.0466)"</f>
        <v>(0.0466)</v>
      </c>
    </row>
    <row r="23" spans="1:4">
      <c r="A23" t="str">
        <f>"comleg_posttrans"</f>
        <v>comleg_posttrans</v>
      </c>
      <c r="B23" t="str">
        <f>""</f>
        <v/>
      </c>
      <c r="C23" t="str">
        <f>""</f>
        <v/>
      </c>
      <c r="D23" t="str">
        <f>"0.131***"</f>
        <v>0.131***</v>
      </c>
    </row>
    <row r="24" spans="1:4">
      <c r="A24" t="str">
        <f>""</f>
        <v/>
      </c>
      <c r="B24" t="str">
        <f>""</f>
        <v/>
      </c>
      <c r="C24" t="str">
        <f>""</f>
        <v/>
      </c>
      <c r="D24" t="str">
        <f>"(0.0248)"</f>
        <v>(0.0248)</v>
      </c>
    </row>
    <row r="26" spans="1:4">
      <c r="A26" t="str">
        <f>"Constant"</f>
        <v>Constant</v>
      </c>
      <c r="B26" t="str">
        <f>"-16.76***"</f>
        <v>-16.76***</v>
      </c>
      <c r="C26" t="str">
        <f>"-18.09***"</f>
        <v>-18.09***</v>
      </c>
      <c r="D26" t="str">
        <f>"-18.00***"</f>
        <v>-18.00***</v>
      </c>
    </row>
    <row r="27" spans="1:4">
      <c r="A27" t="str">
        <f>""</f>
        <v/>
      </c>
      <c r="B27" t="str">
        <f>"(0.292)"</f>
        <v>(0.292)</v>
      </c>
      <c r="C27" t="str">
        <f>"(0.360)"</f>
        <v>(0.360)</v>
      </c>
      <c r="D27" t="str">
        <f>"(0.303)"</f>
        <v>(0.303)</v>
      </c>
    </row>
    <row r="29" spans="1:4">
      <c r="A29" t="str">
        <f>"Observations"</f>
        <v>Observations</v>
      </c>
      <c r="B29" t="str">
        <f>"162810"</f>
        <v>162810</v>
      </c>
      <c r="C29" t="str">
        <f>"162810"</f>
        <v>162810</v>
      </c>
      <c r="D29" t="str">
        <f>"162810"</f>
        <v>162810</v>
      </c>
    </row>
    <row r="30" spans="1:4">
      <c r="A30" t="str">
        <f>"R-squared"</f>
        <v>R-squared</v>
      </c>
      <c r="B30" t="str">
        <f>"0.674"</f>
        <v>0.674</v>
      </c>
      <c r="C30" t="str">
        <f>"0.699"</f>
        <v>0.699</v>
      </c>
      <c r="D30" t="str">
        <f>"0.755"</f>
        <v>0.755</v>
      </c>
    </row>
    <row r="31" spans="1:4">
      <c r="A31" t="str">
        <f>"AIC"</f>
        <v>AIC</v>
      </c>
      <c r="B31" t="str">
        <f>"8.82587e+13"</f>
        <v>8.82587e+13</v>
      </c>
      <c r="C31" t="str">
        <f>"8.61605e+13"</f>
        <v>8.61605e+13</v>
      </c>
      <c r="D31" t="str">
        <f>"7.98576e+13"</f>
        <v>7.98576e+13</v>
      </c>
    </row>
    <row r="33" spans="1:3">
      <c r="A33" t="str">
        <f>"Standard errors in parentheses"</f>
        <v>Standard errors in parentheses</v>
      </c>
    </row>
    <row r="34" spans="1:3">
      <c r="A34" t="s">
        <v>0</v>
      </c>
      <c r="B34" t="s">
        <v>1</v>
      </c>
      <c r="C34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DE6E-D4BD-41D2-B8BD-CBBE7D63A3AF}">
  <dimension ref="A2:F43"/>
  <sheetViews>
    <sheetView workbookViewId="0">
      <selection activeCell="F11" sqref="F11"/>
    </sheetView>
  </sheetViews>
  <sheetFormatPr defaultRowHeight="14.4"/>
  <cols>
    <col min="1" max="1" width="26.21875" bestFit="1" customWidth="1"/>
    <col min="2" max="2" width="9.44140625" bestFit="1" customWidth="1"/>
    <col min="3" max="3" width="11.21875" bestFit="1" customWidth="1"/>
    <col min="4" max="4" width="9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"ln (import)"</f>
        <v>ln (import)</v>
      </c>
      <c r="C3" t="str">
        <f>"ln (import)"</f>
        <v>ln (import)</v>
      </c>
      <c r="D3" t="str">
        <f>"ln (import)"</f>
        <v>ln (import)</v>
      </c>
    </row>
    <row r="5" spans="1:6">
      <c r="A5" t="str">
        <f>"ln (captial distance)"</f>
        <v>ln (captial distance)</v>
      </c>
      <c r="B5" t="str">
        <f>"-1.661***"</f>
        <v>-1.661***</v>
      </c>
      <c r="C5" t="str">
        <f>"-1.545***"</f>
        <v>-1.545***</v>
      </c>
      <c r="D5" t="str">
        <f>"-1.471***"</f>
        <v>-1.471***</v>
      </c>
    </row>
    <row r="6" spans="1:6">
      <c r="A6" t="str">
        <f>""</f>
        <v/>
      </c>
      <c r="B6" t="str">
        <f>"(0.00852)"</f>
        <v>(0.00852)</v>
      </c>
      <c r="C6" t="str">
        <f>"(0.00920)"</f>
        <v>(0.00920)</v>
      </c>
      <c r="D6" t="str">
        <f>"(0.0101)"</f>
        <v>(0.0101)</v>
      </c>
    </row>
    <row r="8" spans="1:6">
      <c r="A8" t="str">
        <f>"ln (country's GDP)"</f>
        <v>ln (country's GDP)</v>
      </c>
      <c r="B8" t="str">
        <f>"0.620***"</f>
        <v>0.620***</v>
      </c>
      <c r="C8" t="str">
        <f>"0.632***"</f>
        <v>0.632***</v>
      </c>
      <c r="D8" t="str">
        <f>"0.634***"</f>
        <v>0.634***</v>
      </c>
      <c r="F8" s="1" t="s">
        <v>4</v>
      </c>
    </row>
    <row r="9" spans="1:6">
      <c r="A9" t="str">
        <f>""</f>
        <v/>
      </c>
      <c r="B9" t="str">
        <f>"(0.0514)"</f>
        <v>(0.0514)</v>
      </c>
      <c r="C9" t="str">
        <f>"(0.0513)"</f>
        <v>(0.0513)</v>
      </c>
      <c r="D9" t="str">
        <f>"(0.0509)"</f>
        <v>(0.0509)</v>
      </c>
      <c r="F9" s="1" t="s">
        <v>8</v>
      </c>
    </row>
    <row r="10" spans="1:6">
      <c r="F10" s="1" t="s">
        <v>9</v>
      </c>
    </row>
    <row r="11" spans="1:6">
      <c r="A11" t="str">
        <f>"ln (partner's GDP)"</f>
        <v>ln (partner's GDP)</v>
      </c>
      <c r="B11" t="str">
        <f>"0.331***"</f>
        <v>0.331***</v>
      </c>
      <c r="C11" t="str">
        <f>"0.342***"</f>
        <v>0.342***</v>
      </c>
      <c r="D11" t="str">
        <f>"0.343***"</f>
        <v>0.343***</v>
      </c>
      <c r="F11" s="1" t="s">
        <v>10</v>
      </c>
    </row>
    <row r="12" spans="1:6">
      <c r="A12" t="str">
        <f>""</f>
        <v/>
      </c>
      <c r="B12" t="str">
        <f>"(0.0554)"</f>
        <v>(0.0554)</v>
      </c>
      <c r="C12" t="str">
        <f>"(0.0553)"</f>
        <v>(0.0553)</v>
      </c>
      <c r="D12" t="str">
        <f>"(0.0549)"</f>
        <v>(0.0549)</v>
      </c>
      <c r="F12" s="1" t="s">
        <v>6</v>
      </c>
    </row>
    <row r="14" spans="1:6">
      <c r="A14" t="str">
        <f>"BRI_it"</f>
        <v>BRI_it</v>
      </c>
      <c r="B14" t="str">
        <f>"-0.0622**"</f>
        <v>-0.0622**</v>
      </c>
      <c r="C14" t="str">
        <f>"-0.0583**"</f>
        <v>-0.0583**</v>
      </c>
      <c r="D14" t="str">
        <f>"-0.0423*"</f>
        <v>-0.0423*</v>
      </c>
    </row>
    <row r="15" spans="1:6">
      <c r="A15" t="str">
        <f>""</f>
        <v/>
      </c>
      <c r="B15" t="str">
        <f>"(0.0256)"</f>
        <v>(0.0256)</v>
      </c>
      <c r="C15" t="str">
        <f>"(0.0255)"</f>
        <v>(0.0255)</v>
      </c>
      <c r="D15" t="str">
        <f>"(0.0253)"</f>
        <v>(0.0253)</v>
      </c>
    </row>
    <row r="17" spans="1:4">
      <c r="A17" t="str">
        <f>"BRI_jt"</f>
        <v>BRI_jt</v>
      </c>
      <c r="B17" t="str">
        <f>"0.0615**"</f>
        <v>0.0615**</v>
      </c>
      <c r="C17" t="str">
        <f>"0.0651**"</f>
        <v>0.0651**</v>
      </c>
      <c r="D17" t="str">
        <f>"0.0808***"</f>
        <v>0.0808***</v>
      </c>
    </row>
    <row r="18" spans="1:4">
      <c r="A18" t="str">
        <f>""</f>
        <v/>
      </c>
      <c r="B18" t="str">
        <f>"(0.0257)"</f>
        <v>(0.0257)</v>
      </c>
      <c r="C18" t="str">
        <f>"(0.0255)"</f>
        <v>(0.0255)</v>
      </c>
      <c r="D18" t="str">
        <f>"(0.0254)"</f>
        <v>(0.0254)</v>
      </c>
    </row>
    <row r="20" spans="1:4">
      <c r="A20" t="str">
        <f>"BRI_ijt"</f>
        <v>BRI_ijt</v>
      </c>
      <c r="B20" t="str">
        <f>"0.209***"</f>
        <v>0.209***</v>
      </c>
      <c r="C20" t="str">
        <f>"0.212***"</f>
        <v>0.212***</v>
      </c>
      <c r="D20" t="str">
        <f>"0.201***"</f>
        <v>0.201***</v>
      </c>
    </row>
    <row r="21" spans="1:4">
      <c r="A21" t="str">
        <f>""</f>
        <v/>
      </c>
      <c r="B21" t="str">
        <f>"(0.0326)"</f>
        <v>(0.0326)</v>
      </c>
      <c r="C21" t="str">
        <f>"(0.0324)"</f>
        <v>(0.0324)</v>
      </c>
      <c r="D21" t="str">
        <f>"(0.0320)"</f>
        <v>(0.0320)</v>
      </c>
    </row>
    <row r="23" spans="1:4">
      <c r="A23" t="str">
        <f>"RTA"</f>
        <v>RTA</v>
      </c>
      <c r="B23" t="str">
        <f>""</f>
        <v/>
      </c>
      <c r="C23" t="str">
        <f>"0.481***"</f>
        <v>0.481***</v>
      </c>
      <c r="D23" t="str">
        <f>"0.469***"</f>
        <v>0.469***</v>
      </c>
    </row>
    <row r="24" spans="1:4">
      <c r="A24" t="str">
        <f>""</f>
        <v/>
      </c>
      <c r="B24" t="str">
        <f>""</f>
        <v/>
      </c>
      <c r="C24" t="str">
        <f>"(0.0149)"</f>
        <v>(0.0149)</v>
      </c>
      <c r="D24" t="str">
        <f>"(0.0148)"</f>
        <v>(0.0148)</v>
      </c>
    </row>
    <row r="26" spans="1:4">
      <c r="A26" t="str">
        <f>"col45"</f>
        <v>col45</v>
      </c>
      <c r="B26" t="str">
        <f>""</f>
        <v/>
      </c>
      <c r="C26" t="str">
        <f>""</f>
        <v/>
      </c>
      <c r="D26" t="str">
        <f>"1.610***"</f>
        <v>1.610***</v>
      </c>
    </row>
    <row r="27" spans="1:4">
      <c r="A27" t="str">
        <f>""</f>
        <v/>
      </c>
      <c r="B27" t="str">
        <f>""</f>
        <v/>
      </c>
      <c r="C27" t="str">
        <f>""</f>
        <v/>
      </c>
      <c r="D27" t="str">
        <f>"(0.0531)"</f>
        <v>(0.0531)</v>
      </c>
    </row>
    <row r="29" spans="1:4">
      <c r="A29" t="str">
        <f>"Contiguity"</f>
        <v>Contiguity</v>
      </c>
      <c r="B29" t="str">
        <f>""</f>
        <v/>
      </c>
      <c r="C29" t="str">
        <f>""</f>
        <v/>
      </c>
      <c r="D29" t="str">
        <f>"0.469***"</f>
        <v>0.469***</v>
      </c>
    </row>
    <row r="30" spans="1:4">
      <c r="A30" t="str">
        <f>""</f>
        <v/>
      </c>
      <c r="B30" t="str">
        <f>""</f>
        <v/>
      </c>
      <c r="C30" t="str">
        <f>""</f>
        <v/>
      </c>
      <c r="D30" t="str">
        <f>"(0.0421)"</f>
        <v>(0.0421)</v>
      </c>
    </row>
    <row r="32" spans="1:4">
      <c r="A32" t="str">
        <f>"comleg_posttrans"</f>
        <v>comleg_posttrans</v>
      </c>
      <c r="B32" t="str">
        <f>""</f>
        <v/>
      </c>
      <c r="C32" t="str">
        <f>""</f>
        <v/>
      </c>
      <c r="D32" t="str">
        <f>"0.339***"</f>
        <v>0.339***</v>
      </c>
    </row>
    <row r="33" spans="1:4">
      <c r="A33" t="str">
        <f>""</f>
        <v/>
      </c>
      <c r="B33" t="str">
        <f>""</f>
        <v/>
      </c>
      <c r="C33" t="str">
        <f>""</f>
        <v/>
      </c>
      <c r="D33" t="str">
        <f>"(0.0129)"</f>
        <v>(0.0129)</v>
      </c>
    </row>
    <row r="35" spans="1:4">
      <c r="A35" t="str">
        <f>"Constant"</f>
        <v>Constant</v>
      </c>
      <c r="B35" t="str">
        <f>"3.268*"</f>
        <v>3.268*</v>
      </c>
      <c r="C35" t="str">
        <f>"1.864"</f>
        <v>1.864</v>
      </c>
      <c r="D35" t="str">
        <f>"0.885"</f>
        <v>0.885</v>
      </c>
    </row>
    <row r="36" spans="1:4">
      <c r="A36" t="str">
        <f>""</f>
        <v/>
      </c>
      <c r="B36" t="str">
        <f>"(1.968)"</f>
        <v>(1.968)</v>
      </c>
      <c r="C36" t="str">
        <f>"(1.961)"</f>
        <v>(1.961)</v>
      </c>
      <c r="D36" t="str">
        <f>"(1.947)"</f>
        <v>(1.947)</v>
      </c>
    </row>
    <row r="38" spans="1:4">
      <c r="A38" t="str">
        <f>"Observations"</f>
        <v>Observations</v>
      </c>
      <c r="B38" t="str">
        <f>"112431"</f>
        <v>112431</v>
      </c>
      <c r="C38" t="str">
        <f>"112431"</f>
        <v>112431</v>
      </c>
      <c r="D38" t="str">
        <f>"112431"</f>
        <v>112431</v>
      </c>
    </row>
    <row r="39" spans="1:4">
      <c r="A39" t="str">
        <f>"R-squared"</f>
        <v>R-squared</v>
      </c>
      <c r="B39" t="str">
        <f>"0.761"</f>
        <v>0.761</v>
      </c>
      <c r="C39" t="str">
        <f>"0.763"</f>
        <v>0.763</v>
      </c>
      <c r="D39" t="str">
        <f>"0.768"</f>
        <v>0.768</v>
      </c>
    </row>
    <row r="40" spans="1:4">
      <c r="A40" t="str">
        <f>"AIC"</f>
        <v>AIC</v>
      </c>
      <c r="B40" t="str">
        <f>"455096.5"</f>
        <v>455096.5</v>
      </c>
      <c r="C40" t="str">
        <f>"454051.3"</f>
        <v>454051.3</v>
      </c>
      <c r="D40" t="str">
        <f>"452021.7"</f>
        <v>452021.7</v>
      </c>
    </row>
    <row r="42" spans="1:4">
      <c r="A42" t="str">
        <f>"Standard errors in parentheses"</f>
        <v>Standard errors in parentheses</v>
      </c>
    </row>
    <row r="43" spans="1:4">
      <c r="A43" t="s">
        <v>0</v>
      </c>
      <c r="B43" t="s">
        <v>1</v>
      </c>
      <c r="C43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65A0-E47E-4B40-B4A3-AE04EE543A5F}">
  <dimension ref="A2:F43"/>
  <sheetViews>
    <sheetView topLeftCell="A7" workbookViewId="0">
      <selection activeCell="F15" sqref="F15"/>
    </sheetView>
  </sheetViews>
  <sheetFormatPr defaultRowHeight="14.4"/>
  <cols>
    <col min="1" max="1" width="26.21875" bestFit="1" customWidth="1"/>
    <col min="2" max="4" width="11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"Import"</f>
        <v>Import</v>
      </c>
      <c r="C3" t="str">
        <f>"Import"</f>
        <v>Import</v>
      </c>
      <c r="D3" t="str">
        <f>"Import"</f>
        <v>Import</v>
      </c>
    </row>
    <row r="5" spans="1:6">
      <c r="A5" t="str">
        <f>"ln (captial distance)"</f>
        <v>ln (captial distance)</v>
      </c>
      <c r="B5" t="str">
        <f>"-0.931***"</f>
        <v>-0.931***</v>
      </c>
      <c r="C5" t="str">
        <f>"-0.840***"</f>
        <v>-0.840***</v>
      </c>
      <c r="D5" t="str">
        <f>"-0.698***"</f>
        <v>-0.698***</v>
      </c>
    </row>
    <row r="6" spans="1:6">
      <c r="A6" t="str">
        <f>""</f>
        <v/>
      </c>
      <c r="B6" t="str">
        <f>"(0.00933)"</f>
        <v>(0.00933)</v>
      </c>
      <c r="C6" t="str">
        <f>"(0.0114)"</f>
        <v>(0.0114)</v>
      </c>
      <c r="D6" t="str">
        <f>"(0.0118)"</f>
        <v>(0.0118)</v>
      </c>
    </row>
    <row r="8" spans="1:6">
      <c r="A8" t="str">
        <f>"ln (country's GDP)"</f>
        <v>ln (country's GDP)</v>
      </c>
      <c r="B8" t="str">
        <f>"0.542***"</f>
        <v>0.542***</v>
      </c>
      <c r="C8" t="str">
        <f>"0.548***"</f>
        <v>0.548***</v>
      </c>
      <c r="D8" t="str">
        <f>"0.544***"</f>
        <v>0.544***</v>
      </c>
      <c r="F8" s="1" t="s">
        <v>4</v>
      </c>
    </row>
    <row r="9" spans="1:6">
      <c r="A9" t="str">
        <f>""</f>
        <v/>
      </c>
      <c r="B9" t="str">
        <f>"(0.0897)"</f>
        <v>(0.0897)</v>
      </c>
      <c r="C9" t="str">
        <f>"(0.0818)"</f>
        <v>(0.0818)</v>
      </c>
      <c r="D9" t="str">
        <f>"(0.0801)"</f>
        <v>(0.0801)</v>
      </c>
      <c r="F9" s="1" t="s">
        <v>8</v>
      </c>
    </row>
    <row r="10" spans="1:6">
      <c r="F10" s="1" t="s">
        <v>11</v>
      </c>
    </row>
    <row r="11" spans="1:6">
      <c r="A11" t="str">
        <f>"ln (partner's GDP)"</f>
        <v>ln (partner's GDP)</v>
      </c>
      <c r="B11" t="str">
        <f>"0.554***"</f>
        <v>0.554***</v>
      </c>
      <c r="C11" t="str">
        <f>"0.556***"</f>
        <v>0.556***</v>
      </c>
      <c r="D11" t="str">
        <f>"0.553***"</f>
        <v>0.553***</v>
      </c>
      <c r="F11" s="1" t="s">
        <v>10</v>
      </c>
    </row>
    <row r="12" spans="1:6">
      <c r="A12" t="str">
        <f>""</f>
        <v/>
      </c>
      <c r="B12" t="str">
        <f>"(0.0836)"</f>
        <v>(0.0836)</v>
      </c>
      <c r="C12" t="str">
        <f>"(0.0778)"</f>
        <v>(0.0778)</v>
      </c>
      <c r="D12" t="str">
        <f>"(0.0748)"</f>
        <v>(0.0748)</v>
      </c>
      <c r="F12" s="1" t="s">
        <v>5</v>
      </c>
    </row>
    <row r="14" spans="1:6">
      <c r="A14" t="str">
        <f>"BRI_it"</f>
        <v>BRI_it</v>
      </c>
      <c r="B14" t="str">
        <f>"-0.105***"</f>
        <v>-0.105***</v>
      </c>
      <c r="C14" t="str">
        <f>"-0.110***"</f>
        <v>-0.110***</v>
      </c>
      <c r="D14" t="str">
        <f>"-0.0960***"</f>
        <v>-0.0960***</v>
      </c>
    </row>
    <row r="15" spans="1:6">
      <c r="A15" t="str">
        <f>""</f>
        <v/>
      </c>
      <c r="B15" t="str">
        <f>"(0.0357)"</f>
        <v>(0.0357)</v>
      </c>
      <c r="C15" t="str">
        <f>"(0.0306)"</f>
        <v>(0.0306)</v>
      </c>
      <c r="D15" t="str">
        <f>"(0.0299)"</f>
        <v>(0.0299)</v>
      </c>
    </row>
    <row r="17" spans="1:4">
      <c r="A17" t="str">
        <f>"BRI_jt"</f>
        <v>BRI_jt</v>
      </c>
      <c r="B17" t="str">
        <f>"-0.0900**"</f>
        <v>-0.0900**</v>
      </c>
      <c r="C17" t="str">
        <f>"-0.0943***"</f>
        <v>-0.0943***</v>
      </c>
      <c r="D17" t="str">
        <f>"-0.0823**"</f>
        <v>-0.0823**</v>
      </c>
    </row>
    <row r="18" spans="1:4">
      <c r="A18" t="str">
        <f>""</f>
        <v/>
      </c>
      <c r="B18" t="str">
        <f>"(0.0408)"</f>
        <v>(0.0408)</v>
      </c>
      <c r="C18" t="str">
        <f>"(0.0366)"</f>
        <v>(0.0366)</v>
      </c>
      <c r="D18" t="str">
        <f>"(0.0358)"</f>
        <v>(0.0358)</v>
      </c>
    </row>
    <row r="20" spans="1:4">
      <c r="A20" t="str">
        <f>"BRI_ijt"</f>
        <v>BRI_ijt</v>
      </c>
      <c r="B20" t="str">
        <f>"0.110**"</f>
        <v>0.110**</v>
      </c>
      <c r="C20" t="str">
        <f>"0.1000**"</f>
        <v>0.1000**</v>
      </c>
      <c r="D20" t="str">
        <f>"0.0849*"</f>
        <v>0.0849*</v>
      </c>
    </row>
    <row r="21" spans="1:4">
      <c r="A21" t="str">
        <f>""</f>
        <v/>
      </c>
      <c r="B21" t="str">
        <f>"(0.0505)"</f>
        <v>(0.0505)</v>
      </c>
      <c r="C21" t="str">
        <f>"(0.0481)"</f>
        <v>(0.0481)</v>
      </c>
      <c r="D21" t="str">
        <f>"(0.0473)"</f>
        <v>(0.0473)</v>
      </c>
    </row>
    <row r="23" spans="1:4">
      <c r="A23" t="str">
        <f>"RTA"</f>
        <v>RTA</v>
      </c>
      <c r="B23" t="str">
        <f>""</f>
        <v/>
      </c>
      <c r="C23" t="str">
        <f>"0.386***"</f>
        <v>0.386***</v>
      </c>
      <c r="D23" t="str">
        <f>"0.387***"</f>
        <v>0.387***</v>
      </c>
    </row>
    <row r="24" spans="1:4">
      <c r="A24" t="str">
        <f>""</f>
        <v/>
      </c>
      <c r="B24" t="str">
        <f>""</f>
        <v/>
      </c>
      <c r="C24" t="str">
        <f>"(0.0250)"</f>
        <v>(0.0250)</v>
      </c>
      <c r="D24" t="str">
        <f>"(0.0237)"</f>
        <v>(0.0237)</v>
      </c>
    </row>
    <row r="26" spans="1:4">
      <c r="A26" t="str">
        <f>"col45"</f>
        <v>col45</v>
      </c>
      <c r="B26" t="str">
        <f>""</f>
        <v/>
      </c>
      <c r="C26" t="str">
        <f>""</f>
        <v/>
      </c>
      <c r="D26" t="str">
        <f>"0.180***"</f>
        <v>0.180***</v>
      </c>
    </row>
    <row r="27" spans="1:4">
      <c r="A27" t="str">
        <f>""</f>
        <v/>
      </c>
      <c r="B27" t="str">
        <f>""</f>
        <v/>
      </c>
      <c r="C27" t="str">
        <f>""</f>
        <v/>
      </c>
      <c r="D27" t="str">
        <f>"(0.0626)"</f>
        <v>(0.0626)</v>
      </c>
    </row>
    <row r="29" spans="1:4">
      <c r="A29" t="str">
        <f>"Contiguity"</f>
        <v>Contiguity</v>
      </c>
      <c r="B29" t="str">
        <f>""</f>
        <v/>
      </c>
      <c r="C29" t="str">
        <f>""</f>
        <v/>
      </c>
      <c r="D29" t="str">
        <f>"0.460***"</f>
        <v>0.460***</v>
      </c>
    </row>
    <row r="30" spans="1:4">
      <c r="A30" t="str">
        <f>""</f>
        <v/>
      </c>
      <c r="B30" t="str">
        <f>""</f>
        <v/>
      </c>
      <c r="C30" t="str">
        <f>""</f>
        <v/>
      </c>
      <c r="D30" t="str">
        <f>"(0.0229)"</f>
        <v>(0.0229)</v>
      </c>
    </row>
    <row r="32" spans="1:4">
      <c r="A32" t="str">
        <f>"comleg_posttrans"</f>
        <v>comleg_posttrans</v>
      </c>
      <c r="B32" t="str">
        <f>""</f>
        <v/>
      </c>
      <c r="C32" t="str">
        <f>""</f>
        <v/>
      </c>
      <c r="D32" t="str">
        <f>"0.151***"</f>
        <v>0.151***</v>
      </c>
    </row>
    <row r="33" spans="1:4">
      <c r="A33" t="str">
        <f>""</f>
        <v/>
      </c>
      <c r="B33" t="str">
        <f>""</f>
        <v/>
      </c>
      <c r="C33" t="str">
        <f>""</f>
        <v/>
      </c>
      <c r="D33" t="str">
        <f>"(0.0133)"</f>
        <v>(0.0133)</v>
      </c>
    </row>
    <row r="35" spans="1:4">
      <c r="A35" t="str">
        <f>"Constant"</f>
        <v>Constant</v>
      </c>
      <c r="B35" t="str">
        <f>"-0.163"</f>
        <v>-0.163</v>
      </c>
      <c r="C35" t="str">
        <f>"-1.309"</f>
        <v>-1.309</v>
      </c>
      <c r="D35" t="str">
        <f>"-2.385"</f>
        <v>-2.385</v>
      </c>
    </row>
    <row r="36" spans="1:4">
      <c r="A36" t="str">
        <f>""</f>
        <v/>
      </c>
      <c r="B36" t="str">
        <f>"(3.160)"</f>
        <v>(3.160)</v>
      </c>
      <c r="C36" t="str">
        <f>"(3.034)"</f>
        <v>(3.034)</v>
      </c>
      <c r="D36" t="str">
        <f>"(2.857)"</f>
        <v>(2.857)</v>
      </c>
    </row>
    <row r="38" spans="1:4">
      <c r="A38" t="str">
        <f>"Observations"</f>
        <v>Observations</v>
      </c>
      <c r="B38" t="str">
        <f>"162810"</f>
        <v>162810</v>
      </c>
      <c r="C38" t="str">
        <f>"162810"</f>
        <v>162810</v>
      </c>
      <c r="D38" t="str">
        <f>"162810"</f>
        <v>162810</v>
      </c>
    </row>
    <row r="39" spans="1:4">
      <c r="A39" t="str">
        <f>"Pseudo R-squared"</f>
        <v>Pseudo R-squared</v>
      </c>
      <c r="B39" t="str">
        <f>"0.927"</f>
        <v>0.927</v>
      </c>
      <c r="C39" t="str">
        <f>"0.930"</f>
        <v>0.930</v>
      </c>
      <c r="D39" t="str">
        <f>"0.933"</f>
        <v>0.933</v>
      </c>
    </row>
    <row r="40" spans="1:4">
      <c r="A40" t="str">
        <f>"AIC"</f>
        <v>AIC</v>
      </c>
      <c r="B40" t="str">
        <f>"4.70953e+13"</f>
        <v>4.70953e+13</v>
      </c>
      <c r="C40" t="str">
        <f>"4.55938e+13"</f>
        <v>4.55938e+13</v>
      </c>
      <c r="D40" t="str">
        <f>"4.32044e+13"</f>
        <v>4.32044e+13</v>
      </c>
    </row>
    <row r="42" spans="1:4">
      <c r="A42" t="str">
        <f>"Standard errors in parentheses"</f>
        <v>Standard errors in parentheses</v>
      </c>
    </row>
    <row r="43" spans="1:4">
      <c r="A43" t="s">
        <v>0</v>
      </c>
      <c r="B43" t="s">
        <v>1</v>
      </c>
      <c r="C43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9D04-0970-4C41-8C29-04B3E0CDFA94}">
  <dimension ref="A2:F43"/>
  <sheetViews>
    <sheetView topLeftCell="A13" zoomScale="99" workbookViewId="0">
      <selection activeCell="F16" sqref="F16"/>
    </sheetView>
  </sheetViews>
  <sheetFormatPr defaultRowHeight="14.4"/>
  <cols>
    <col min="1" max="1" width="26.21875" bestFit="1" customWidth="1"/>
    <col min="2" max="4" width="11.554687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"Import"</f>
        <v>Import</v>
      </c>
      <c r="C3" t="str">
        <f>"Import"</f>
        <v>Import</v>
      </c>
      <c r="D3" t="str">
        <f>"Import"</f>
        <v>Import</v>
      </c>
    </row>
    <row r="5" spans="1:6">
      <c r="A5" t="str">
        <f>"ln (captial distance)"</f>
        <v>ln (captial distance)</v>
      </c>
      <c r="B5" t="str">
        <f>"-0.788***"</f>
        <v>-0.788***</v>
      </c>
      <c r="C5" t="str">
        <f>"-0.689***"</f>
        <v>-0.689***</v>
      </c>
      <c r="D5" t="str">
        <f>"-0.559***"</f>
        <v>-0.559***</v>
      </c>
    </row>
    <row r="6" spans="1:6">
      <c r="A6" t="str">
        <f>""</f>
        <v/>
      </c>
      <c r="B6" t="str">
        <f>"(0.0101)"</f>
        <v>(0.0101)</v>
      </c>
      <c r="C6" t="str">
        <f>"(0.0131)"</f>
        <v>(0.0131)</v>
      </c>
      <c r="D6" t="str">
        <f>"(0.0157)"</f>
        <v>(0.0157)</v>
      </c>
    </row>
    <row r="8" spans="1:6">
      <c r="A8" t="str">
        <f>"ln (country's GDP)"</f>
        <v>ln (country's GDP)</v>
      </c>
      <c r="B8" t="str">
        <f>"0.835***"</f>
        <v>0.835***</v>
      </c>
      <c r="C8" t="str">
        <f>"0.842***"</f>
        <v>0.842***</v>
      </c>
      <c r="D8" t="str">
        <f>"0.818***"</f>
        <v>0.818***</v>
      </c>
      <c r="F8" s="1" t="s">
        <v>4</v>
      </c>
    </row>
    <row r="9" spans="1:6">
      <c r="A9" t="str">
        <f>""</f>
        <v/>
      </c>
      <c r="B9" t="str">
        <f>"(0.00886)"</f>
        <v>(0.00886)</v>
      </c>
      <c r="C9" t="str">
        <f>"(0.00896)"</f>
        <v>(0.00896)</v>
      </c>
      <c r="D9" t="str">
        <f>"(0.00694)"</f>
        <v>(0.00694)</v>
      </c>
      <c r="F9" s="1" t="s">
        <v>12</v>
      </c>
    </row>
    <row r="10" spans="1:6">
      <c r="F10" s="1" t="s">
        <v>11</v>
      </c>
    </row>
    <row r="11" spans="1:6">
      <c r="A11" t="str">
        <f>"ln (partner's GDP)"</f>
        <v>ln (partner's GDP)</v>
      </c>
      <c r="B11" t="str">
        <f>"0.820***"</f>
        <v>0.820***</v>
      </c>
      <c r="C11" t="str">
        <f>"0.827***"</f>
        <v>0.827***</v>
      </c>
      <c r="D11" t="str">
        <f>"0.804***"</f>
        <v>0.804***</v>
      </c>
      <c r="F11" s="1" t="s">
        <v>10</v>
      </c>
    </row>
    <row r="12" spans="1:6">
      <c r="A12" t="str">
        <f>""</f>
        <v/>
      </c>
      <c r="B12" t="str">
        <f>"(0.00616)"</f>
        <v>(0.00616)</v>
      </c>
      <c r="C12" t="str">
        <f>"(0.00609)"</f>
        <v>(0.00609)</v>
      </c>
      <c r="D12" t="str">
        <f>"(0.00643)"</f>
        <v>(0.00643)</v>
      </c>
      <c r="F12" s="1" t="s">
        <v>3</v>
      </c>
    </row>
    <row r="14" spans="1:6">
      <c r="A14" t="str">
        <f>"BRI_it"</f>
        <v>BRI_it</v>
      </c>
      <c r="B14" t="str">
        <f>"-0.131***"</f>
        <v>-0.131***</v>
      </c>
      <c r="C14" t="str">
        <f>"-0.116***"</f>
        <v>-0.116***</v>
      </c>
      <c r="D14" t="str">
        <f>"-0.0958***"</f>
        <v>-0.0958***</v>
      </c>
    </row>
    <row r="15" spans="1:6">
      <c r="A15" t="str">
        <f>""</f>
        <v/>
      </c>
      <c r="B15" t="str">
        <f>"(0.0302)"</f>
        <v>(0.0302)</v>
      </c>
      <c r="C15" t="str">
        <f>"(0.0287)"</f>
        <v>(0.0287)</v>
      </c>
      <c r="D15" t="str">
        <f>"(0.0267)"</f>
        <v>(0.0267)</v>
      </c>
    </row>
    <row r="17" spans="1:4">
      <c r="A17" t="str">
        <f>"BRI_jt"</f>
        <v>BRI_jt</v>
      </c>
      <c r="B17" t="str">
        <f>"0.0491"</f>
        <v>0.0491</v>
      </c>
      <c r="C17" t="str">
        <f>"0.0632*"</f>
        <v>0.0632*</v>
      </c>
      <c r="D17" t="str">
        <f>"0.0846***"</f>
        <v>0.0846***</v>
      </c>
    </row>
    <row r="18" spans="1:4">
      <c r="A18" t="str">
        <f>""</f>
        <v/>
      </c>
      <c r="B18" t="str">
        <f>"(0.0356)"</f>
        <v>(0.0356)</v>
      </c>
      <c r="C18" t="str">
        <f>"(0.0329)"</f>
        <v>(0.0329)</v>
      </c>
      <c r="D18" t="str">
        <f>"(0.0319)"</f>
        <v>(0.0319)</v>
      </c>
    </row>
    <row r="20" spans="1:4">
      <c r="A20" t="str">
        <f>"BRI_ijt"</f>
        <v>BRI_ijt</v>
      </c>
      <c r="B20" t="str">
        <f>"0.421***"</f>
        <v>0.421***</v>
      </c>
      <c r="C20" t="str">
        <f>"0.469***"</f>
        <v>0.469***</v>
      </c>
      <c r="D20" t="str">
        <f>"0.384***"</f>
        <v>0.384***</v>
      </c>
    </row>
    <row r="21" spans="1:4">
      <c r="A21" t="str">
        <f>""</f>
        <v/>
      </c>
      <c r="B21" t="str">
        <f>"(0.0420)"</f>
        <v>(0.0420)</v>
      </c>
      <c r="C21" t="str">
        <f>"(0.0417)"</f>
        <v>(0.0417)</v>
      </c>
      <c r="D21" t="str">
        <f>"(0.0409)"</f>
        <v>(0.0409)</v>
      </c>
    </row>
    <row r="23" spans="1:4">
      <c r="A23" t="str">
        <f>"RTA"</f>
        <v>RTA</v>
      </c>
      <c r="B23" t="str">
        <f>""</f>
        <v/>
      </c>
      <c r="C23" t="str">
        <f>"0.379***"</f>
        <v>0.379***</v>
      </c>
      <c r="D23" t="str">
        <f>"0.346***"</f>
        <v>0.346***</v>
      </c>
    </row>
    <row r="24" spans="1:4">
      <c r="A24" t="str">
        <f>""</f>
        <v/>
      </c>
      <c r="B24" t="str">
        <f>""</f>
        <v/>
      </c>
      <c r="C24" t="str">
        <f>"(0.0301)"</f>
        <v>(0.0301)</v>
      </c>
      <c r="D24" t="str">
        <f>"(0.0246)"</f>
        <v>(0.0246)</v>
      </c>
    </row>
    <row r="26" spans="1:4">
      <c r="A26" t="str">
        <f>"col45"</f>
        <v>col45</v>
      </c>
      <c r="B26" t="str">
        <f>""</f>
        <v/>
      </c>
      <c r="C26" t="str">
        <f>""</f>
        <v/>
      </c>
      <c r="D26" t="str">
        <f>"0.344***"</f>
        <v>0.344***</v>
      </c>
    </row>
    <row r="27" spans="1:4">
      <c r="A27" t="str">
        <f>""</f>
        <v/>
      </c>
      <c r="B27" t="str">
        <f>""</f>
        <v/>
      </c>
      <c r="C27" t="str">
        <f>""</f>
        <v/>
      </c>
      <c r="D27" t="str">
        <f>"(0.0423)"</f>
        <v>(0.0423)</v>
      </c>
    </row>
    <row r="29" spans="1:4">
      <c r="A29" t="str">
        <f>"Contiguity"</f>
        <v>Contiguity</v>
      </c>
      <c r="B29" t="str">
        <f>""</f>
        <v/>
      </c>
      <c r="C29" t="str">
        <f>""</f>
        <v/>
      </c>
      <c r="D29" t="str">
        <f>"0.626***"</f>
        <v>0.626***</v>
      </c>
    </row>
    <row r="30" spans="1:4">
      <c r="A30" t="str">
        <f>""</f>
        <v/>
      </c>
      <c r="B30" t="str">
        <f>""</f>
        <v/>
      </c>
      <c r="C30" t="str">
        <f>""</f>
        <v/>
      </c>
      <c r="D30" t="str">
        <f>"(0.0467)"</f>
        <v>(0.0467)</v>
      </c>
    </row>
    <row r="32" spans="1:4">
      <c r="A32" t="str">
        <f>"comleg_posttrans"</f>
        <v>comleg_posttrans</v>
      </c>
      <c r="B32" t="str">
        <f>""</f>
        <v/>
      </c>
      <c r="C32" t="str">
        <f>""</f>
        <v/>
      </c>
      <c r="D32" t="str">
        <f>"0.132***"</f>
        <v>0.132***</v>
      </c>
    </row>
    <row r="33" spans="1:4">
      <c r="A33" t="str">
        <f>""</f>
        <v/>
      </c>
      <c r="B33" t="str">
        <f>""</f>
        <v/>
      </c>
      <c r="C33" t="str">
        <f>""</f>
        <v/>
      </c>
      <c r="D33" t="str">
        <f>"(0.0248)"</f>
        <v>(0.0248)</v>
      </c>
    </row>
    <row r="35" spans="1:4">
      <c r="A35" t="str">
        <f>"Constant"</f>
        <v>Constant</v>
      </c>
      <c r="B35" t="str">
        <f>"-17.05***"</f>
        <v>-17.05***</v>
      </c>
      <c r="C35" t="str">
        <f>"-18.47***"</f>
        <v>-18.47***</v>
      </c>
      <c r="D35" t="str">
        <f>"-18.34***"</f>
        <v>-18.34***</v>
      </c>
    </row>
    <row r="36" spans="1:4">
      <c r="A36" t="str">
        <f>""</f>
        <v/>
      </c>
      <c r="B36" t="str">
        <f>"(0.293)"</f>
        <v>(0.293)</v>
      </c>
      <c r="C36" t="str">
        <f>"(0.363)"</f>
        <v>(0.363)</v>
      </c>
      <c r="D36" t="str">
        <f>"(0.310)"</f>
        <v>(0.310)</v>
      </c>
    </row>
    <row r="38" spans="1:4">
      <c r="A38" t="str">
        <f>"Observations"</f>
        <v>Observations</v>
      </c>
      <c r="B38" t="str">
        <f>"162810"</f>
        <v>162810</v>
      </c>
      <c r="C38" t="str">
        <f>"162810"</f>
        <v>162810</v>
      </c>
      <c r="D38" t="str">
        <f>"162810"</f>
        <v>162810</v>
      </c>
    </row>
    <row r="39" spans="1:4">
      <c r="A39" t="str">
        <f>"R-squared"</f>
        <v>R-squared</v>
      </c>
      <c r="B39" t="str">
        <f>"0.673"</f>
        <v>0.673</v>
      </c>
      <c r="C39" t="str">
        <f>"0.699"</f>
        <v>0.699</v>
      </c>
      <c r="D39" t="str">
        <f>"0.754"</f>
        <v>0.754</v>
      </c>
    </row>
    <row r="40" spans="1:4">
      <c r="A40" t="str">
        <f>"AIC"</f>
        <v>AIC</v>
      </c>
      <c r="B40" t="str">
        <f>"8.76559e+13"</f>
        <v>8.76559e+13</v>
      </c>
      <c r="C40" t="str">
        <f>"8.54689e+13"</f>
        <v>8.54689e+13</v>
      </c>
      <c r="D40" t="str">
        <f>"7.93632e+13"</f>
        <v>7.93632e+13</v>
      </c>
    </row>
    <row r="42" spans="1:4">
      <c r="A42" t="str">
        <f>"Standard errors in parentheses"</f>
        <v>Standard errors in parentheses</v>
      </c>
    </row>
    <row r="43" spans="1:4">
      <c r="A43" t="s">
        <v>0</v>
      </c>
      <c r="B43" t="s">
        <v>1</v>
      </c>
      <c r="C43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501C-9331-4E24-AF25-23B9AD1C87B3}">
  <dimension ref="A2:F43"/>
  <sheetViews>
    <sheetView workbookViewId="0">
      <selection activeCell="F11" sqref="F11"/>
    </sheetView>
  </sheetViews>
  <sheetFormatPr defaultRowHeight="14.4"/>
  <cols>
    <col min="1" max="1" width="26.21875" bestFit="1" customWidth="1"/>
    <col min="2" max="2" width="9.44140625" bestFit="1" customWidth="1"/>
    <col min="3" max="3" width="11.21875" bestFit="1" customWidth="1"/>
    <col min="4" max="4" width="9.44140625" bestFit="1" customWidth="1"/>
  </cols>
  <sheetData>
    <row r="2" spans="1:6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6">
      <c r="A3" t="str">
        <f>""</f>
        <v/>
      </c>
      <c r="B3" t="str">
        <f>"ln (import)"</f>
        <v>ln (import)</v>
      </c>
      <c r="C3" t="str">
        <f>"ln (import)"</f>
        <v>ln (import)</v>
      </c>
      <c r="D3" t="str">
        <f>"ln (import)"</f>
        <v>ln (import)</v>
      </c>
    </row>
    <row r="5" spans="1:6">
      <c r="A5" t="str">
        <f>"ln (captial distance)"</f>
        <v>ln (captial distance)</v>
      </c>
      <c r="B5" t="str">
        <f>"-1.664***"</f>
        <v>-1.664***</v>
      </c>
      <c r="C5" t="str">
        <f>"-1.548***"</f>
        <v>-1.548***</v>
      </c>
      <c r="D5" t="str">
        <f>"-1.473***"</f>
        <v>-1.473***</v>
      </c>
    </row>
    <row r="6" spans="1:6">
      <c r="A6" t="str">
        <f>""</f>
        <v/>
      </c>
      <c r="B6" t="str">
        <f>"(0.00852)"</f>
        <v>(0.00852)</v>
      </c>
      <c r="C6" t="str">
        <f>"(0.00920)"</f>
        <v>(0.00920)</v>
      </c>
      <c r="D6" t="str">
        <f>"(0.0101)"</f>
        <v>(0.0101)</v>
      </c>
    </row>
    <row r="8" spans="1:6">
      <c r="A8" t="str">
        <f>"ln (country's GDP)"</f>
        <v>ln (country's GDP)</v>
      </c>
      <c r="B8" t="str">
        <f>"0.626***"</f>
        <v>0.626***</v>
      </c>
      <c r="C8" t="str">
        <f>"0.638***"</f>
        <v>0.638***</v>
      </c>
      <c r="D8" t="str">
        <f>"0.638***"</f>
        <v>0.638***</v>
      </c>
      <c r="F8" s="1" t="s">
        <v>4</v>
      </c>
    </row>
    <row r="9" spans="1:6">
      <c r="A9" t="str">
        <f>""</f>
        <v/>
      </c>
      <c r="B9" t="str">
        <f>"(0.0513)"</f>
        <v>(0.0513)</v>
      </c>
      <c r="C9" t="str">
        <f>"(0.0511)"</f>
        <v>(0.0511)</v>
      </c>
      <c r="D9" t="str">
        <f>"(0.0507)"</f>
        <v>(0.0507)</v>
      </c>
      <c r="F9" s="1" t="s">
        <v>7</v>
      </c>
    </row>
    <row r="10" spans="1:6">
      <c r="F10" s="1" t="s">
        <v>13</v>
      </c>
    </row>
    <row r="11" spans="1:6">
      <c r="A11" t="str">
        <f>"ln (partner's GDP)"</f>
        <v>ln (partner's GDP)</v>
      </c>
      <c r="B11" t="str">
        <f>"0.322***"</f>
        <v>0.322***</v>
      </c>
      <c r="C11" t="str">
        <f>"0.332***"</f>
        <v>0.332***</v>
      </c>
      <c r="D11" t="str">
        <f>"0.331***"</f>
        <v>0.331***</v>
      </c>
      <c r="F11" s="1" t="s">
        <v>14</v>
      </c>
    </row>
    <row r="12" spans="1:6">
      <c r="A12" t="str">
        <f>""</f>
        <v/>
      </c>
      <c r="B12" t="str">
        <f>"(0.0554)"</f>
        <v>(0.0554)</v>
      </c>
      <c r="C12" t="str">
        <f>"(0.0553)"</f>
        <v>(0.0553)</v>
      </c>
      <c r="D12" t="str">
        <f>"(0.0549)"</f>
        <v>(0.0549)</v>
      </c>
      <c r="F12" s="1" t="s">
        <v>6</v>
      </c>
    </row>
    <row r="14" spans="1:6">
      <c r="A14" t="str">
        <f>"BRI_i"</f>
        <v>BRI_i</v>
      </c>
      <c r="B14" t="str">
        <f>"1.279***"</f>
        <v>1.279***</v>
      </c>
      <c r="C14" t="str">
        <f>"1.403***"</f>
        <v>1.403***</v>
      </c>
      <c r="D14" t="str">
        <f>"1.343***"</f>
        <v>1.343***</v>
      </c>
    </row>
    <row r="15" spans="1:6">
      <c r="A15" t="str">
        <f>""</f>
        <v/>
      </c>
      <c r="B15" t="str">
        <f>"(0.278)"</f>
        <v>(0.278)</v>
      </c>
      <c r="C15" t="str">
        <f>"(0.278)"</f>
        <v>(0.278)</v>
      </c>
      <c r="D15" t="str">
        <f>"(0.276)"</f>
        <v>(0.276)</v>
      </c>
    </row>
    <row r="17" spans="1:4">
      <c r="A17" t="str">
        <f>"BRI_j"</f>
        <v>BRI_j</v>
      </c>
      <c r="B17" t="str">
        <f>"2.115***"</f>
        <v>2.115***</v>
      </c>
      <c r="C17" t="str">
        <f>"2.262***"</f>
        <v>2.262***</v>
      </c>
      <c r="D17" t="str">
        <f>"2.223***"</f>
        <v>2.223***</v>
      </c>
    </row>
    <row r="18" spans="1:4">
      <c r="A18" t="str">
        <f>""</f>
        <v/>
      </c>
      <c r="B18" t="str">
        <f>"(0.360)"</f>
        <v>(0.360)</v>
      </c>
      <c r="C18" t="str">
        <f>"(0.359)"</f>
        <v>(0.359)</v>
      </c>
      <c r="D18" t="str">
        <f>"(0.358)"</f>
        <v>(0.358)</v>
      </c>
    </row>
    <row r="20" spans="1:4">
      <c r="A20" t="str">
        <f>"BRI_ij"</f>
        <v>BRI_ij</v>
      </c>
      <c r="B20" t="str">
        <f>"3.354***"</f>
        <v>3.354***</v>
      </c>
      <c r="C20" t="str">
        <f>"3.619***"</f>
        <v>3.619***</v>
      </c>
      <c r="D20" t="str">
        <f>"3.508***"</f>
        <v>3.508***</v>
      </c>
    </row>
    <row r="21" spans="1:4">
      <c r="A21" t="str">
        <f>""</f>
        <v/>
      </c>
      <c r="B21" t="str">
        <f>"(0.463)"</f>
        <v>(0.463)</v>
      </c>
      <c r="C21" t="str">
        <f>"(0.461)"</f>
        <v>(0.461)</v>
      </c>
      <c r="D21" t="str">
        <f>"(0.458)"</f>
        <v>(0.458)</v>
      </c>
    </row>
    <row r="23" spans="1:4">
      <c r="A23" t="str">
        <f>"RTA"</f>
        <v>RTA</v>
      </c>
      <c r="B23" t="str">
        <f>""</f>
        <v/>
      </c>
      <c r="C23" t="str">
        <f>"0.482***"</f>
        <v>0.482***</v>
      </c>
      <c r="D23" t="str">
        <f>"0.470***"</f>
        <v>0.470***</v>
      </c>
    </row>
    <row r="24" spans="1:4">
      <c r="A24" t="str">
        <f>""</f>
        <v/>
      </c>
      <c r="B24" t="str">
        <f>""</f>
        <v/>
      </c>
      <c r="C24" t="str">
        <f>"(0.0149)"</f>
        <v>(0.0149)</v>
      </c>
      <c r="D24" t="str">
        <f>"(0.0148)"</f>
        <v>(0.0148)</v>
      </c>
    </row>
    <row r="26" spans="1:4">
      <c r="A26" t="str">
        <f>"col45"</f>
        <v>col45</v>
      </c>
      <c r="B26" t="str">
        <f>""</f>
        <v/>
      </c>
      <c r="C26" t="str">
        <f>""</f>
        <v/>
      </c>
      <c r="D26" t="str">
        <f>"1.613***"</f>
        <v>1.613***</v>
      </c>
    </row>
    <row r="27" spans="1:4">
      <c r="A27" t="str">
        <f>""</f>
        <v/>
      </c>
      <c r="B27" t="str">
        <f>""</f>
        <v/>
      </c>
      <c r="C27" t="str">
        <f>""</f>
        <v/>
      </c>
      <c r="D27" t="str">
        <f>"(0.0532)"</f>
        <v>(0.0532)</v>
      </c>
    </row>
    <row r="29" spans="1:4">
      <c r="A29" t="str">
        <f>"Contiguity"</f>
        <v>Contiguity</v>
      </c>
      <c r="B29" t="str">
        <f>""</f>
        <v/>
      </c>
      <c r="C29" t="str">
        <f>""</f>
        <v/>
      </c>
      <c r="D29" t="str">
        <f>"0.477***"</f>
        <v>0.477***</v>
      </c>
    </row>
    <row r="30" spans="1:4">
      <c r="A30" t="str">
        <f>""</f>
        <v/>
      </c>
      <c r="B30" t="str">
        <f>""</f>
        <v/>
      </c>
      <c r="C30" t="str">
        <f>""</f>
        <v/>
      </c>
      <c r="D30" t="str">
        <f>"(0.0420)"</f>
        <v>(0.0420)</v>
      </c>
    </row>
    <row r="32" spans="1:4">
      <c r="A32" t="str">
        <f>"comleg_posttrans"</f>
        <v>comleg_posttrans</v>
      </c>
      <c r="B32" t="str">
        <f>""</f>
        <v/>
      </c>
      <c r="C32" t="str">
        <f>""</f>
        <v/>
      </c>
      <c r="D32" t="str">
        <f>"0.339***"</f>
        <v>0.339***</v>
      </c>
    </row>
    <row r="33" spans="1:4">
      <c r="A33" t="str">
        <f>""</f>
        <v/>
      </c>
      <c r="B33" t="str">
        <f>""</f>
        <v/>
      </c>
      <c r="C33" t="str">
        <f>""</f>
        <v/>
      </c>
      <c r="D33" t="str">
        <f>"(0.0129)"</f>
        <v>(0.0129)</v>
      </c>
    </row>
    <row r="35" spans="1:4">
      <c r="A35" t="str">
        <f>"Constant"</f>
        <v>Constant</v>
      </c>
      <c r="B35" t="str">
        <f>"-0.00784"</f>
        <v>-0.00784</v>
      </c>
      <c r="C35" t="str">
        <f>"-1.650"</f>
        <v>-1.650</v>
      </c>
      <c r="D35" t="str">
        <f>"-2.416"</f>
        <v>-2.416</v>
      </c>
    </row>
    <row r="36" spans="1:4">
      <c r="A36" t="str">
        <f>""</f>
        <v/>
      </c>
      <c r="B36" t="str">
        <f>"(1.581)"</f>
        <v>(1.581)</v>
      </c>
      <c r="C36" t="str">
        <f>"(1.575)"</f>
        <v>(1.575)</v>
      </c>
      <c r="D36" t="str">
        <f>"(1.564)"</f>
        <v>(1.564)</v>
      </c>
    </row>
    <row r="38" spans="1:4">
      <c r="A38" t="str">
        <f>"Observations"</f>
        <v>Observations</v>
      </c>
      <c r="B38" t="str">
        <f>"112431"</f>
        <v>112431</v>
      </c>
      <c r="C38" t="str">
        <f>"112431"</f>
        <v>112431</v>
      </c>
      <c r="D38" t="str">
        <f>"112431"</f>
        <v>112431</v>
      </c>
    </row>
    <row r="39" spans="1:4">
      <c r="A39" t="str">
        <f>"R-squared"</f>
        <v>R-squared</v>
      </c>
      <c r="B39" t="str">
        <f>"0.761"</f>
        <v>0.761</v>
      </c>
      <c r="C39" t="str">
        <f>"0.763"</f>
        <v>0.763</v>
      </c>
      <c r="D39" t="str">
        <f>"0.767"</f>
        <v>0.767</v>
      </c>
    </row>
    <row r="40" spans="1:4">
      <c r="A40" t="str">
        <f>"AIC"</f>
        <v>AIC</v>
      </c>
      <c r="B40" t="str">
        <f>"455160.1"</f>
        <v>455160.1</v>
      </c>
      <c r="C40" t="str">
        <f>"454114.2"</f>
        <v>454114.2</v>
      </c>
      <c r="D40" t="str">
        <f>"452072.3"</f>
        <v>452072.3</v>
      </c>
    </row>
    <row r="42" spans="1:4">
      <c r="A42" t="str">
        <f>"Standard errors in parentheses"</f>
        <v>Standard errors in parentheses</v>
      </c>
    </row>
    <row r="43" spans="1:4">
      <c r="A43" t="s">
        <v>0</v>
      </c>
      <c r="B43" t="s">
        <v>1</v>
      </c>
      <c r="C4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sample construction</vt:lpstr>
      <vt:lpstr>country list (135 countries)</vt:lpstr>
      <vt:lpstr>ols_benchmark_ijt</vt:lpstr>
      <vt:lpstr>ppmlhdfe_benchmark_ijt</vt:lpstr>
      <vt:lpstr>ppml_benchmark_no_fe</vt:lpstr>
      <vt:lpstr>ols_brientry_ijt</vt:lpstr>
      <vt:lpstr>ppmlhdfe_brientry_ijt</vt:lpstr>
      <vt:lpstr>ppml_brientry_no_ fe</vt:lpstr>
      <vt:lpstr>ols_bri_ijt</vt:lpstr>
      <vt:lpstr>ppmlhdfe_bri_ijt (NA)</vt:lpstr>
      <vt:lpstr>ppml_bri_no_fe</vt:lpstr>
      <vt:lpstr>ols_brientry_ijt_incremental</vt:lpstr>
      <vt:lpstr>ppmlhdfe_brientry_ijt_incre</vt:lpstr>
      <vt:lpstr>ppml_brientry_no_fe_incremental</vt:lpstr>
      <vt:lpstr>ols_bri_ijt_incremental</vt:lpstr>
      <vt:lpstr>ppmlhdfe_bri_ijt_incremental</vt:lpstr>
      <vt:lpstr>ppml_bri_no_fe_incremental</vt:lpstr>
      <vt:lpstr>ols_row_brientry_it</vt:lpstr>
      <vt:lpstr>ols_row_bri_it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边策</dc:creator>
  <cp:lastModifiedBy>边策</cp:lastModifiedBy>
  <dcterms:created xsi:type="dcterms:W3CDTF">2021-03-02T12:11:41Z</dcterms:created>
  <dcterms:modified xsi:type="dcterms:W3CDTF">2021-03-05T00:48:40Z</dcterms:modified>
</cp:coreProperties>
</file>