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rias/Dropbox/Carlos/4-Twitter LBO/"/>
    </mc:Choice>
  </mc:AlternateContent>
  <xr:revisionPtr revIDLastSave="0" documentId="13_ncr:1_{FED43E2F-22DD-DF4B-9585-16CF148E7015}" xr6:coauthVersionLast="47" xr6:coauthVersionMax="47" xr10:uidLastSave="{00000000-0000-0000-0000-000000000000}"/>
  <bookViews>
    <workbookView xWindow="0" yWindow="0" windowWidth="28800" windowHeight="18000" xr2:uid="{B21F62A7-C793-F04C-9A5D-48EE0A347C6D}"/>
  </bookViews>
  <sheets>
    <sheet name="Twitter LBO Model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6" i="1" l="1"/>
  <c r="R486" i="1"/>
  <c r="S486" i="1"/>
  <c r="T486" i="1"/>
  <c r="U486" i="1"/>
  <c r="L27" i="1"/>
  <c r="C471" i="1" l="1"/>
  <c r="C468" i="1"/>
  <c r="D461" i="1"/>
  <c r="L504" i="1"/>
  <c r="L503" i="1"/>
  <c r="H504" i="1"/>
  <c r="I504" i="1"/>
  <c r="J504" i="1"/>
  <c r="K504" i="1"/>
  <c r="G504" i="1"/>
  <c r="Q500" i="1"/>
  <c r="Q157" i="1" s="1"/>
  <c r="Q494" i="1"/>
  <c r="Q152" i="1" s="1"/>
  <c r="R497" i="1"/>
  <c r="S497" i="1" s="1"/>
  <c r="T497" i="1" s="1"/>
  <c r="U497" i="1" s="1"/>
  <c r="U500" i="1" s="1"/>
  <c r="U157" i="1" s="1"/>
  <c r="R491" i="1"/>
  <c r="S491" i="1" s="1"/>
  <c r="T491" i="1" s="1"/>
  <c r="U491" i="1" s="1"/>
  <c r="U494" i="1" s="1"/>
  <c r="U152" i="1" s="1"/>
  <c r="U485" i="1"/>
  <c r="U488" i="1" s="1"/>
  <c r="U145" i="1" s="1"/>
  <c r="T485" i="1"/>
  <c r="T488" i="1" s="1"/>
  <c r="T145" i="1" s="1"/>
  <c r="S485" i="1"/>
  <c r="S488" i="1" s="1"/>
  <c r="S145" i="1" s="1"/>
  <c r="R485" i="1"/>
  <c r="R488" i="1" s="1"/>
  <c r="R145" i="1" s="1"/>
  <c r="Q485" i="1"/>
  <c r="Q488" i="1" s="1"/>
  <c r="Q145" i="1" s="1"/>
  <c r="Q481" i="1"/>
  <c r="Q480" i="1"/>
  <c r="R482" i="1"/>
  <c r="R143" i="1" s="1"/>
  <c r="S482" i="1"/>
  <c r="S143" i="1" s="1"/>
  <c r="T482" i="1"/>
  <c r="T143" i="1" s="1"/>
  <c r="U482" i="1"/>
  <c r="U143" i="1" s="1"/>
  <c r="Q479" i="1"/>
  <c r="Q482" i="1" s="1"/>
  <c r="Q143" i="1" s="1"/>
  <c r="U477" i="1"/>
  <c r="R477" i="1"/>
  <c r="S477" i="1"/>
  <c r="T477" i="1"/>
  <c r="Q477" i="1"/>
  <c r="I488" i="1"/>
  <c r="J488" i="1"/>
  <c r="K488" i="1"/>
  <c r="L488" i="1"/>
  <c r="H488" i="1"/>
  <c r="I477" i="1"/>
  <c r="J477" i="1"/>
  <c r="K477" i="1"/>
  <c r="H477" i="1"/>
  <c r="T500" i="1" l="1"/>
  <c r="T157" i="1" s="1"/>
  <c r="S500" i="1"/>
  <c r="S157" i="1" s="1"/>
  <c r="R500" i="1"/>
  <c r="R157" i="1" s="1"/>
  <c r="T494" i="1"/>
  <c r="T152" i="1" s="1"/>
  <c r="S494" i="1"/>
  <c r="S152" i="1" s="1"/>
  <c r="R494" i="1"/>
  <c r="R152" i="1" s="1"/>
  <c r="R97" i="1"/>
  <c r="F69" i="1"/>
  <c r="H102" i="1"/>
  <c r="I102" i="1"/>
  <c r="J102" i="1"/>
  <c r="K102" i="1"/>
  <c r="L102" i="1"/>
  <c r="G102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18" i="1"/>
  <c r="Y118" i="1"/>
  <c r="X118" i="1"/>
  <c r="W118" i="1"/>
  <c r="V118" i="1"/>
  <c r="B115" i="1"/>
  <c r="B116" i="1"/>
  <c r="B117" i="1"/>
  <c r="B114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U119" i="1"/>
  <c r="T119" i="1"/>
  <c r="S119" i="1"/>
  <c r="R119" i="1"/>
  <c r="Q119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2" i="1"/>
  <c r="Y112" i="1"/>
  <c r="X112" i="1"/>
  <c r="W112" i="1"/>
  <c r="V112" i="1"/>
  <c r="L96" i="1"/>
  <c r="H96" i="1"/>
  <c r="I96" i="1"/>
  <c r="J96" i="1"/>
  <c r="K96" i="1"/>
  <c r="G96" i="1"/>
  <c r="R95" i="1"/>
  <c r="S95" i="1"/>
  <c r="T95" i="1"/>
  <c r="U95" i="1"/>
  <c r="Q95" i="1"/>
  <c r="R94" i="1"/>
  <c r="S94" i="1"/>
  <c r="T94" i="1"/>
  <c r="U94" i="1"/>
  <c r="Q94" i="1"/>
  <c r="N95" i="1"/>
  <c r="L95" i="1"/>
  <c r="G95" i="1"/>
  <c r="K298" i="1"/>
  <c r="K296" i="1"/>
  <c r="C315" i="1"/>
  <c r="B304" i="1"/>
  <c r="C389" i="1"/>
  <c r="C32" i="1"/>
  <c r="R282" i="1"/>
  <c r="S282" i="1"/>
  <c r="T282" i="1"/>
  <c r="U282" i="1"/>
  <c r="Q282" i="1"/>
  <c r="R333" i="1"/>
  <c r="S333" i="1"/>
  <c r="T333" i="1"/>
  <c r="U333" i="1"/>
  <c r="Q333" i="1"/>
  <c r="Q206" i="1"/>
  <c r="R206" i="1" s="1"/>
  <c r="S206" i="1" s="1"/>
  <c r="T206" i="1" s="1"/>
  <c r="U206" i="1" s="1"/>
  <c r="Q371" i="1"/>
  <c r="C61" i="1"/>
  <c r="Q367" i="1" s="1"/>
  <c r="Q354" i="1"/>
  <c r="H272" i="1"/>
  <c r="I272" i="1"/>
  <c r="J272" i="1"/>
  <c r="K272" i="1"/>
  <c r="L272" i="1"/>
  <c r="G272" i="1"/>
  <c r="R256" i="1"/>
  <c r="R325" i="1" s="1"/>
  <c r="J405" i="1" s="1"/>
  <c r="S256" i="1"/>
  <c r="S325" i="1" s="1"/>
  <c r="K405" i="1" s="1"/>
  <c r="T256" i="1"/>
  <c r="T325" i="1" s="1"/>
  <c r="L405" i="1" s="1"/>
  <c r="U256" i="1"/>
  <c r="U325" i="1" s="1"/>
  <c r="M405" i="1" s="1"/>
  <c r="Q256" i="1"/>
  <c r="Q325" i="1" s="1"/>
  <c r="I405" i="1" s="1"/>
  <c r="H216" i="1"/>
  <c r="I216" i="1"/>
  <c r="J216" i="1"/>
  <c r="K216" i="1"/>
  <c r="L216" i="1"/>
  <c r="G216" i="1"/>
  <c r="O232" i="1" l="1"/>
  <c r="P232" i="1" s="1"/>
  <c r="Q232" i="1" s="1"/>
  <c r="R232" i="1" s="1"/>
  <c r="S232" i="1" s="1"/>
  <c r="T232" i="1" s="1"/>
  <c r="U232" i="1" s="1"/>
  <c r="O231" i="1"/>
  <c r="P231" i="1" s="1"/>
  <c r="Q231" i="1" s="1"/>
  <c r="R231" i="1" s="1"/>
  <c r="S231" i="1" s="1"/>
  <c r="T231" i="1" s="1"/>
  <c r="U231" i="1" s="1"/>
  <c r="O230" i="1"/>
  <c r="P230" i="1" s="1"/>
  <c r="Q230" i="1" s="1"/>
  <c r="R230" i="1" s="1"/>
  <c r="S230" i="1" s="1"/>
  <c r="T230" i="1" s="1"/>
  <c r="U230" i="1" s="1"/>
  <c r="O214" i="1"/>
  <c r="P214" i="1" s="1"/>
  <c r="Q214" i="1" s="1"/>
  <c r="R214" i="1" s="1"/>
  <c r="S214" i="1" s="1"/>
  <c r="T214" i="1" s="1"/>
  <c r="U214" i="1" s="1"/>
  <c r="O213" i="1"/>
  <c r="O203" i="1"/>
  <c r="M203" i="1"/>
  <c r="C79" i="1"/>
  <c r="C306" i="1" s="1"/>
  <c r="P215" i="1"/>
  <c r="Q215" i="1" s="1"/>
  <c r="R215" i="1" s="1"/>
  <c r="S215" i="1" s="1"/>
  <c r="T215" i="1" s="1"/>
  <c r="U215" i="1" s="1"/>
  <c r="P224" i="1"/>
  <c r="Q224" i="1" s="1"/>
  <c r="R224" i="1" s="1"/>
  <c r="S224" i="1" s="1"/>
  <c r="T224" i="1" s="1"/>
  <c r="U224" i="1" s="1"/>
  <c r="P225" i="1"/>
  <c r="P226" i="1"/>
  <c r="P223" i="1"/>
  <c r="Q223" i="1" s="1"/>
  <c r="R223" i="1" s="1"/>
  <c r="S223" i="1" s="1"/>
  <c r="T223" i="1" s="1"/>
  <c r="U223" i="1" s="1"/>
  <c r="P221" i="1"/>
  <c r="P220" i="1"/>
  <c r="P211" i="1"/>
  <c r="Q211" i="1" s="1"/>
  <c r="R211" i="1" s="1"/>
  <c r="S211" i="1" s="1"/>
  <c r="T211" i="1" s="1"/>
  <c r="U211" i="1" s="1"/>
  <c r="P212" i="1"/>
  <c r="Q212" i="1" s="1"/>
  <c r="R212" i="1" s="1"/>
  <c r="S212" i="1" s="1"/>
  <c r="T212" i="1" s="1"/>
  <c r="U212" i="1" s="1"/>
  <c r="P210" i="1"/>
  <c r="P204" i="1"/>
  <c r="P205" i="1"/>
  <c r="P206" i="1"/>
  <c r="P207" i="1"/>
  <c r="P234" i="1"/>
  <c r="P233" i="1"/>
  <c r="Q233" i="1" s="1"/>
  <c r="R233" i="1" s="1"/>
  <c r="S233" i="1" s="1"/>
  <c r="T233" i="1" s="1"/>
  <c r="U233" i="1" s="1"/>
  <c r="P236" i="1"/>
  <c r="P237" i="1"/>
  <c r="P235" i="1"/>
  <c r="O222" i="1"/>
  <c r="H163" i="1"/>
  <c r="I163" i="1"/>
  <c r="J163" i="1"/>
  <c r="K163" i="1"/>
  <c r="L163" i="1"/>
  <c r="G163" i="1"/>
  <c r="R187" i="1"/>
  <c r="S187" i="1"/>
  <c r="T187" i="1"/>
  <c r="U187" i="1"/>
  <c r="Q187" i="1"/>
  <c r="L271" i="1"/>
  <c r="L506" i="1" s="1"/>
  <c r="H271" i="1"/>
  <c r="I271" i="1"/>
  <c r="J271" i="1"/>
  <c r="K271" i="1"/>
  <c r="G271" i="1"/>
  <c r="R201" i="1"/>
  <c r="S201" i="1"/>
  <c r="T201" i="1"/>
  <c r="U201" i="1"/>
  <c r="Q201" i="1"/>
  <c r="R200" i="1"/>
  <c r="S200" i="1"/>
  <c r="T200" i="1"/>
  <c r="U200" i="1"/>
  <c r="Q200" i="1"/>
  <c r="D421" i="1"/>
  <c r="E421" i="1"/>
  <c r="F421" i="1"/>
  <c r="G421" i="1"/>
  <c r="H421" i="1"/>
  <c r="C421" i="1"/>
  <c r="D420" i="1"/>
  <c r="E420" i="1"/>
  <c r="F420" i="1"/>
  <c r="G420" i="1"/>
  <c r="H420" i="1"/>
  <c r="C420" i="1"/>
  <c r="D414" i="1"/>
  <c r="E414" i="1"/>
  <c r="F414" i="1"/>
  <c r="G414" i="1"/>
  <c r="H414" i="1"/>
  <c r="C414" i="1"/>
  <c r="D412" i="1"/>
  <c r="E412" i="1"/>
  <c r="F412" i="1"/>
  <c r="G412" i="1"/>
  <c r="H412" i="1"/>
  <c r="C412" i="1"/>
  <c r="D408" i="1"/>
  <c r="E408" i="1"/>
  <c r="F408" i="1"/>
  <c r="G408" i="1"/>
  <c r="H408" i="1"/>
  <c r="C408" i="1"/>
  <c r="C411" i="1"/>
  <c r="D411" i="1"/>
  <c r="E411" i="1"/>
  <c r="F411" i="1"/>
  <c r="G411" i="1"/>
  <c r="H411" i="1"/>
  <c r="D413" i="1"/>
  <c r="E413" i="1"/>
  <c r="F413" i="1"/>
  <c r="G413" i="1"/>
  <c r="H413" i="1"/>
  <c r="C413" i="1"/>
  <c r="C436" i="1"/>
  <c r="C437" i="1" s="1"/>
  <c r="C439" i="1" s="1"/>
  <c r="C441" i="1"/>
  <c r="C406" i="1"/>
  <c r="D406" i="1"/>
  <c r="E406" i="1"/>
  <c r="F406" i="1"/>
  <c r="G406" i="1"/>
  <c r="H406" i="1"/>
  <c r="D407" i="1"/>
  <c r="E407" i="1"/>
  <c r="F407" i="1"/>
  <c r="G407" i="1"/>
  <c r="H407" i="1"/>
  <c r="C407" i="1"/>
  <c r="J243" i="1"/>
  <c r="J246" i="1" s="1"/>
  <c r="L246" i="1"/>
  <c r="H227" i="1"/>
  <c r="H238" i="1" s="1"/>
  <c r="I227" i="1"/>
  <c r="I238" i="1" s="1"/>
  <c r="J227" i="1"/>
  <c r="J238" i="1" s="1"/>
  <c r="K227" i="1"/>
  <c r="K238" i="1" s="1"/>
  <c r="L227" i="1"/>
  <c r="L238" i="1" s="1"/>
  <c r="G227" i="1"/>
  <c r="G238" i="1" s="1"/>
  <c r="H208" i="1"/>
  <c r="H217" i="1" s="1"/>
  <c r="I208" i="1"/>
  <c r="I217" i="1" s="1"/>
  <c r="J208" i="1"/>
  <c r="J217" i="1" s="1"/>
  <c r="K208" i="1"/>
  <c r="K217" i="1" s="1"/>
  <c r="L208" i="1"/>
  <c r="L217" i="1" s="1"/>
  <c r="G208" i="1"/>
  <c r="G217" i="1" s="1"/>
  <c r="H184" i="1"/>
  <c r="I184" i="1"/>
  <c r="J184" i="1"/>
  <c r="K184" i="1"/>
  <c r="L184" i="1"/>
  <c r="G184" i="1"/>
  <c r="H173" i="1"/>
  <c r="H106" i="1" s="1"/>
  <c r="I173" i="1"/>
  <c r="I106" i="1" s="1"/>
  <c r="J173" i="1"/>
  <c r="J106" i="1" s="1"/>
  <c r="K173" i="1"/>
  <c r="K106" i="1" s="1"/>
  <c r="L173" i="1"/>
  <c r="G173" i="1"/>
  <c r="G106" i="1" s="1"/>
  <c r="H162" i="1"/>
  <c r="I162" i="1"/>
  <c r="J162" i="1"/>
  <c r="K162" i="1"/>
  <c r="L162" i="1"/>
  <c r="G162" i="1"/>
  <c r="H156" i="1"/>
  <c r="I156" i="1"/>
  <c r="J156" i="1"/>
  <c r="K156" i="1"/>
  <c r="L156" i="1"/>
  <c r="G156" i="1"/>
  <c r="G157" i="1" s="1"/>
  <c r="L145" i="1"/>
  <c r="L146" i="1"/>
  <c r="H151" i="1"/>
  <c r="I151" i="1"/>
  <c r="J151" i="1"/>
  <c r="K151" i="1"/>
  <c r="L151" i="1"/>
  <c r="G151" i="1"/>
  <c r="G152" i="1" s="1"/>
  <c r="L143" i="1"/>
  <c r="H141" i="1"/>
  <c r="C74" i="1"/>
  <c r="C77" i="1"/>
  <c r="C302" i="1" s="1"/>
  <c r="D69" i="1"/>
  <c r="R375" i="1" s="1"/>
  <c r="E69" i="1"/>
  <c r="S375" i="1" s="1"/>
  <c r="T375" i="1"/>
  <c r="G69" i="1"/>
  <c r="U375" i="1" s="1"/>
  <c r="C69" i="1"/>
  <c r="Q375" i="1" s="1"/>
  <c r="D61" i="1"/>
  <c r="R367" i="1" s="1"/>
  <c r="E61" i="1"/>
  <c r="S367" i="1" s="1"/>
  <c r="F61" i="1"/>
  <c r="T367" i="1" s="1"/>
  <c r="G61" i="1"/>
  <c r="U367" i="1" s="1"/>
  <c r="D53" i="1"/>
  <c r="R359" i="1" s="1"/>
  <c r="E53" i="1"/>
  <c r="S359" i="1" s="1"/>
  <c r="F53" i="1"/>
  <c r="T359" i="1" s="1"/>
  <c r="G53" i="1"/>
  <c r="U359" i="1" s="1"/>
  <c r="C53" i="1"/>
  <c r="Q359" i="1" s="1"/>
  <c r="D45" i="1"/>
  <c r="R350" i="1" s="1"/>
  <c r="E45" i="1"/>
  <c r="S350" i="1" s="1"/>
  <c r="F45" i="1"/>
  <c r="T350" i="1" s="1"/>
  <c r="G45" i="1"/>
  <c r="U350" i="1" s="1"/>
  <c r="C45" i="1"/>
  <c r="Q350" i="1" s="1"/>
  <c r="C83" i="1"/>
  <c r="C312" i="1" s="1"/>
  <c r="C84" i="1"/>
  <c r="C313" i="1" s="1"/>
  <c r="H143" i="1"/>
  <c r="G246" i="1"/>
  <c r="H246" i="1"/>
  <c r="I246" i="1"/>
  <c r="K246" i="1"/>
  <c r="P201" i="1"/>
  <c r="G145" i="1"/>
  <c r="I143" i="1"/>
  <c r="J143" i="1"/>
  <c r="K143" i="1"/>
  <c r="H145" i="1"/>
  <c r="I145" i="1"/>
  <c r="J145" i="1"/>
  <c r="K145" i="1"/>
  <c r="H146" i="1"/>
  <c r="I146" i="1"/>
  <c r="J146" i="1"/>
  <c r="K146" i="1"/>
  <c r="G146" i="1"/>
  <c r="Z140" i="1"/>
  <c r="Y140" i="1"/>
  <c r="Y141" i="1" s="1"/>
  <c r="X140" i="1"/>
  <c r="X141" i="1" s="1"/>
  <c r="W140" i="1"/>
  <c r="W141" i="1" s="1"/>
  <c r="V140" i="1"/>
  <c r="L494" i="1" l="1"/>
  <c r="L500" i="1"/>
  <c r="I152" i="1"/>
  <c r="I494" i="1"/>
  <c r="L97" i="1"/>
  <c r="L482" i="1"/>
  <c r="K152" i="1"/>
  <c r="K494" i="1"/>
  <c r="K157" i="1"/>
  <c r="K500" i="1"/>
  <c r="G103" i="1"/>
  <c r="G506" i="1"/>
  <c r="I97" i="1"/>
  <c r="I482" i="1"/>
  <c r="J152" i="1"/>
  <c r="J494" i="1"/>
  <c r="J157" i="1"/>
  <c r="J500" i="1"/>
  <c r="K103" i="1"/>
  <c r="K506" i="1"/>
  <c r="J103" i="1"/>
  <c r="J506" i="1"/>
  <c r="I103" i="1"/>
  <c r="I506" i="1"/>
  <c r="I157" i="1"/>
  <c r="I500" i="1"/>
  <c r="K97" i="1"/>
  <c r="K482" i="1"/>
  <c r="H152" i="1"/>
  <c r="H494" i="1"/>
  <c r="H157" i="1"/>
  <c r="H500" i="1"/>
  <c r="J97" i="1"/>
  <c r="J482" i="1"/>
  <c r="H97" i="1"/>
  <c r="H482" i="1"/>
  <c r="H103" i="1"/>
  <c r="H506" i="1"/>
  <c r="Q271" i="1"/>
  <c r="Q103" i="1" s="1"/>
  <c r="L103" i="1"/>
  <c r="L105" i="1"/>
  <c r="L106" i="1"/>
  <c r="L147" i="1"/>
  <c r="L99" i="1" s="1"/>
  <c r="L98" i="1"/>
  <c r="J147" i="1"/>
  <c r="J99" i="1" s="1"/>
  <c r="J98" i="1"/>
  <c r="I141" i="1"/>
  <c r="H95" i="1"/>
  <c r="K174" i="1"/>
  <c r="K105" i="1"/>
  <c r="H174" i="1"/>
  <c r="H105" i="1"/>
  <c r="I147" i="1"/>
  <c r="I99" i="1" s="1"/>
  <c r="I98" i="1"/>
  <c r="J174" i="1"/>
  <c r="J105" i="1"/>
  <c r="S97" i="1"/>
  <c r="G147" i="1"/>
  <c r="G99" i="1" s="1"/>
  <c r="G98" i="1"/>
  <c r="G174" i="1"/>
  <c r="G105" i="1"/>
  <c r="K147" i="1"/>
  <c r="K99" i="1" s="1"/>
  <c r="K98" i="1"/>
  <c r="L174" i="1"/>
  <c r="H147" i="1"/>
  <c r="H99" i="1" s="1"/>
  <c r="H98" i="1"/>
  <c r="I174" i="1"/>
  <c r="I105" i="1"/>
  <c r="Q142" i="1"/>
  <c r="R142" i="1" s="1"/>
  <c r="R96" i="1" s="1"/>
  <c r="Q97" i="1"/>
  <c r="Q346" i="1"/>
  <c r="C299" i="1"/>
  <c r="P222" i="1"/>
  <c r="Q222" i="1" s="1"/>
  <c r="R222" i="1" s="1"/>
  <c r="S222" i="1" s="1"/>
  <c r="T222" i="1" s="1"/>
  <c r="U222" i="1" s="1"/>
  <c r="L152" i="1"/>
  <c r="C448" i="1"/>
  <c r="L157" i="1"/>
  <c r="C447" i="1"/>
  <c r="P203" i="1"/>
  <c r="O246" i="1"/>
  <c r="G164" i="1"/>
  <c r="K164" i="1"/>
  <c r="J164" i="1"/>
  <c r="I164" i="1"/>
  <c r="L164" i="1"/>
  <c r="H164" i="1"/>
  <c r="C426" i="1"/>
  <c r="F429" i="1"/>
  <c r="F423" i="1"/>
  <c r="D423" i="1"/>
  <c r="H425" i="1"/>
  <c r="I425" i="1" s="1"/>
  <c r="J425" i="1" s="1"/>
  <c r="K425" i="1" s="1"/>
  <c r="L425" i="1" s="1"/>
  <c r="H423" i="1"/>
  <c r="I423" i="1" s="1"/>
  <c r="J423" i="1" s="1"/>
  <c r="K423" i="1" s="1"/>
  <c r="L423" i="1" s="1"/>
  <c r="M423" i="1" s="1"/>
  <c r="E423" i="1"/>
  <c r="E426" i="1"/>
  <c r="G423" i="1"/>
  <c r="F426" i="1"/>
  <c r="H426" i="1"/>
  <c r="I426" i="1" s="1"/>
  <c r="J426" i="1" s="1"/>
  <c r="K426" i="1" s="1"/>
  <c r="L426" i="1" s="1"/>
  <c r="M426" i="1" s="1"/>
  <c r="G426" i="1"/>
  <c r="D426" i="1"/>
  <c r="C423" i="1"/>
  <c r="C425" i="1"/>
  <c r="E429" i="1"/>
  <c r="E425" i="1"/>
  <c r="C429" i="1"/>
  <c r="D428" i="1"/>
  <c r="C424" i="1"/>
  <c r="H424" i="1"/>
  <c r="I424" i="1" s="1"/>
  <c r="J424" i="1" s="1"/>
  <c r="K424" i="1" s="1"/>
  <c r="L424" i="1" s="1"/>
  <c r="M424" i="1" s="1"/>
  <c r="H428" i="1"/>
  <c r="I428" i="1" s="1"/>
  <c r="J428" i="1" s="1"/>
  <c r="K428" i="1" s="1"/>
  <c r="L428" i="1" s="1"/>
  <c r="M428" i="1" s="1"/>
  <c r="H429" i="1"/>
  <c r="I429" i="1" s="1"/>
  <c r="J429" i="1" s="1"/>
  <c r="K429" i="1" s="1"/>
  <c r="L429" i="1" s="1"/>
  <c r="M429" i="1" s="1"/>
  <c r="F425" i="1"/>
  <c r="D424" i="1"/>
  <c r="D429" i="1"/>
  <c r="D427" i="1"/>
  <c r="H427" i="1"/>
  <c r="I427" i="1" s="1"/>
  <c r="J427" i="1" s="1"/>
  <c r="K427" i="1" s="1"/>
  <c r="L427" i="1" s="1"/>
  <c r="M427" i="1" s="1"/>
  <c r="G429" i="1"/>
  <c r="D425" i="1"/>
  <c r="G424" i="1"/>
  <c r="G428" i="1"/>
  <c r="F424" i="1"/>
  <c r="F428" i="1"/>
  <c r="E424" i="1"/>
  <c r="E428" i="1"/>
  <c r="F427" i="1"/>
  <c r="G425" i="1"/>
  <c r="E427" i="1"/>
  <c r="C428" i="1"/>
  <c r="C427" i="1"/>
  <c r="G427" i="1"/>
  <c r="G415" i="1"/>
  <c r="F415" i="1"/>
  <c r="E415" i="1"/>
  <c r="D415" i="1"/>
  <c r="C415" i="1"/>
  <c r="H415" i="1"/>
  <c r="H409" i="1"/>
  <c r="F409" i="1"/>
  <c r="E409" i="1"/>
  <c r="D409" i="1"/>
  <c r="C409" i="1"/>
  <c r="G409" i="1"/>
  <c r="C443" i="1"/>
  <c r="L248" i="1"/>
  <c r="L250" i="1" s="1"/>
  <c r="G259" i="1"/>
  <c r="L259" i="1"/>
  <c r="J259" i="1"/>
  <c r="I259" i="1"/>
  <c r="H259" i="1"/>
  <c r="K259" i="1"/>
  <c r="J159" i="1"/>
  <c r="J100" i="1" s="1"/>
  <c r="L159" i="1"/>
  <c r="H159" i="1"/>
  <c r="H100" i="1" s="1"/>
  <c r="G159" i="1"/>
  <c r="G100" i="1" s="1"/>
  <c r="K159" i="1"/>
  <c r="I159" i="1"/>
  <c r="I100" i="1" s="1"/>
  <c r="J248" i="1"/>
  <c r="J250" i="1" s="1"/>
  <c r="K248" i="1"/>
  <c r="K250" i="1" s="1"/>
  <c r="H248" i="1"/>
  <c r="H250" i="1" s="1"/>
  <c r="G248" i="1"/>
  <c r="G250" i="1" s="1"/>
  <c r="I248" i="1"/>
  <c r="I250" i="1" s="1"/>
  <c r="Z141" i="1"/>
  <c r="R271" i="1" l="1"/>
  <c r="R103" i="1" s="1"/>
  <c r="Q144" i="1"/>
  <c r="I421" i="1" s="1"/>
  <c r="I411" i="1" s="1"/>
  <c r="Q220" i="1" s="1"/>
  <c r="Q156" i="1"/>
  <c r="Q270" i="1"/>
  <c r="G165" i="1"/>
  <c r="U97" i="1"/>
  <c r="T97" i="1"/>
  <c r="D315" i="1"/>
  <c r="L100" i="1"/>
  <c r="H165" i="1"/>
  <c r="Q151" i="1"/>
  <c r="Q96" i="1"/>
  <c r="J141" i="1"/>
  <c r="I95" i="1"/>
  <c r="L165" i="1"/>
  <c r="I165" i="1"/>
  <c r="I420" i="1"/>
  <c r="I412" i="1" s="1"/>
  <c r="Q221" i="1" s="1"/>
  <c r="Q264" i="1" s="1"/>
  <c r="J165" i="1"/>
  <c r="K160" i="1"/>
  <c r="K101" i="1" s="1"/>
  <c r="K100" i="1"/>
  <c r="K165" i="1"/>
  <c r="D312" i="1"/>
  <c r="D313" i="1"/>
  <c r="D299" i="1"/>
  <c r="D302" i="1"/>
  <c r="K297" i="1"/>
  <c r="D306" i="1"/>
  <c r="P227" i="1"/>
  <c r="P238" i="1" s="1"/>
  <c r="C449" i="1"/>
  <c r="D447" i="1" s="1"/>
  <c r="C452" i="1" s="1"/>
  <c r="I167" i="1"/>
  <c r="I185" i="1" s="1"/>
  <c r="I189" i="1" s="1"/>
  <c r="I258" i="1" s="1"/>
  <c r="Q287" i="1"/>
  <c r="Q332" i="1" s="1"/>
  <c r="Q203" i="1"/>
  <c r="P208" i="1"/>
  <c r="L167" i="1"/>
  <c r="L185" i="1" s="1"/>
  <c r="L187" i="1" s="1"/>
  <c r="J167" i="1"/>
  <c r="J185" i="1" s="1"/>
  <c r="J187" i="1" s="1"/>
  <c r="H167" i="1"/>
  <c r="H185" i="1" s="1"/>
  <c r="H189" i="1" s="1"/>
  <c r="H258" i="1" s="1"/>
  <c r="G167" i="1"/>
  <c r="G185" i="1" s="1"/>
  <c r="J420" i="1"/>
  <c r="J406" i="1" s="1"/>
  <c r="R204" i="1" s="1"/>
  <c r="M425" i="1"/>
  <c r="F417" i="1"/>
  <c r="G417" i="1"/>
  <c r="D417" i="1"/>
  <c r="H417" i="1"/>
  <c r="C417" i="1"/>
  <c r="E417" i="1"/>
  <c r="S142" i="1"/>
  <c r="S96" i="1" s="1"/>
  <c r="R144" i="1"/>
  <c r="R156" i="1"/>
  <c r="R151" i="1"/>
  <c r="K167" i="1"/>
  <c r="H160" i="1"/>
  <c r="H101" i="1" s="1"/>
  <c r="G160" i="1"/>
  <c r="G101" i="1" s="1"/>
  <c r="L160" i="1"/>
  <c r="L101" i="1" s="1"/>
  <c r="I160" i="1"/>
  <c r="I101" i="1" s="1"/>
  <c r="J160" i="1"/>
  <c r="J101" i="1" s="1"/>
  <c r="R270" i="1" l="1"/>
  <c r="R102" i="1" s="1"/>
  <c r="S271" i="1"/>
  <c r="S103" i="1" s="1"/>
  <c r="Q272" i="1"/>
  <c r="Q329" i="1" s="1"/>
  <c r="Q102" i="1"/>
  <c r="R203" i="1"/>
  <c r="Q112" i="1"/>
  <c r="Q146" i="1"/>
  <c r="Q147" i="1" s="1"/>
  <c r="Q99" i="1" s="1"/>
  <c r="I414" i="1"/>
  <c r="Q226" i="1" s="1"/>
  <c r="Q266" i="1" s="1"/>
  <c r="Q165" i="1"/>
  <c r="I413" i="1"/>
  <c r="Q225" i="1" s="1"/>
  <c r="Q265" i="1" s="1"/>
  <c r="I406" i="1"/>
  <c r="Q204" i="1" s="1"/>
  <c r="R260" i="1" s="1"/>
  <c r="I408" i="1"/>
  <c r="Q207" i="1" s="1"/>
  <c r="Q262" i="1" s="1"/>
  <c r="K141" i="1"/>
  <c r="J95" i="1"/>
  <c r="I407" i="1"/>
  <c r="Q205" i="1" s="1"/>
  <c r="Q261" i="1" s="1"/>
  <c r="I168" i="1"/>
  <c r="I187" i="1"/>
  <c r="D448" i="1"/>
  <c r="C453" i="1" s="1"/>
  <c r="C454" i="1" s="1"/>
  <c r="J168" i="1"/>
  <c r="L168" i="1"/>
  <c r="J189" i="1"/>
  <c r="J190" i="1" s="1"/>
  <c r="H187" i="1"/>
  <c r="G168" i="1"/>
  <c r="H168" i="1"/>
  <c r="I190" i="1"/>
  <c r="H190" i="1"/>
  <c r="L189" i="1"/>
  <c r="L190" i="1" s="1"/>
  <c r="G189" i="1"/>
  <c r="G190" i="1" s="1"/>
  <c r="G187" i="1"/>
  <c r="G418" i="1"/>
  <c r="Q263" i="1"/>
  <c r="S144" i="1"/>
  <c r="K420" i="1"/>
  <c r="K406" i="1" s="1"/>
  <c r="S204" i="1" s="1"/>
  <c r="R146" i="1"/>
  <c r="J421" i="1"/>
  <c r="J411" i="1" s="1"/>
  <c r="R220" i="1" s="1"/>
  <c r="F418" i="1"/>
  <c r="J412" i="1"/>
  <c r="R221" i="1" s="1"/>
  <c r="R264" i="1" s="1"/>
  <c r="J414" i="1"/>
  <c r="R226" i="1" s="1"/>
  <c r="J413" i="1"/>
  <c r="R225" i="1" s="1"/>
  <c r="J407" i="1"/>
  <c r="R205" i="1" s="1"/>
  <c r="J408" i="1"/>
  <c r="D418" i="1"/>
  <c r="H418" i="1"/>
  <c r="E418" i="1"/>
  <c r="S151" i="1"/>
  <c r="T142" i="1"/>
  <c r="T96" i="1" s="1"/>
  <c r="S156" i="1"/>
  <c r="K185" i="1"/>
  <c r="K187" i="1" s="1"/>
  <c r="K168" i="1"/>
  <c r="S270" i="1" l="1"/>
  <c r="S102" i="1" s="1"/>
  <c r="T271" i="1"/>
  <c r="T103" i="1" s="1"/>
  <c r="R272" i="1"/>
  <c r="R329" i="1" s="1"/>
  <c r="S203" i="1"/>
  <c r="R112" i="1"/>
  <c r="Q98" i="1"/>
  <c r="Q159" i="1"/>
  <c r="Q100" i="1" s="1"/>
  <c r="Q227" i="1"/>
  <c r="R266" i="1"/>
  <c r="I415" i="1"/>
  <c r="Q260" i="1"/>
  <c r="I409" i="1"/>
  <c r="Q208" i="1"/>
  <c r="N142" i="1"/>
  <c r="N96" i="1" s="1"/>
  <c r="K95" i="1"/>
  <c r="N146" i="1"/>
  <c r="N98" i="1" s="1"/>
  <c r="N159" i="1"/>
  <c r="N101" i="1" s="1"/>
  <c r="R147" i="1"/>
  <c r="R99" i="1" s="1"/>
  <c r="R98" i="1"/>
  <c r="N167" i="1"/>
  <c r="R265" i="1"/>
  <c r="Q162" i="1"/>
  <c r="Q210" i="1" s="1"/>
  <c r="R165" i="1"/>
  <c r="J258" i="1"/>
  <c r="L258" i="1"/>
  <c r="K189" i="1"/>
  <c r="K258" i="1" s="1"/>
  <c r="G258" i="1"/>
  <c r="R159" i="1"/>
  <c r="R100" i="1" s="1"/>
  <c r="R227" i="1"/>
  <c r="R263" i="1"/>
  <c r="S260" i="1"/>
  <c r="R261" i="1"/>
  <c r="J409" i="1"/>
  <c r="R207" i="1"/>
  <c r="T144" i="1"/>
  <c r="L420" i="1"/>
  <c r="L406" i="1" s="1"/>
  <c r="T204" i="1" s="1"/>
  <c r="T260" i="1" s="1"/>
  <c r="J415" i="1"/>
  <c r="K412" i="1"/>
  <c r="S221" i="1" s="1"/>
  <c r="S264" i="1" s="1"/>
  <c r="K414" i="1"/>
  <c r="S226" i="1" s="1"/>
  <c r="S266" i="1" s="1"/>
  <c r="K413" i="1"/>
  <c r="S225" i="1" s="1"/>
  <c r="S265" i="1" s="1"/>
  <c r="K407" i="1"/>
  <c r="S205" i="1" s="1"/>
  <c r="S261" i="1" s="1"/>
  <c r="K408" i="1"/>
  <c r="S207" i="1" s="1"/>
  <c r="S146" i="1"/>
  <c r="K421" i="1"/>
  <c r="K411" i="1" s="1"/>
  <c r="S220" i="1" s="1"/>
  <c r="T151" i="1"/>
  <c r="U142" i="1"/>
  <c r="U96" i="1" s="1"/>
  <c r="T156" i="1"/>
  <c r="T270" i="1" l="1"/>
  <c r="T102" i="1" s="1"/>
  <c r="U271" i="1"/>
  <c r="U103" i="1" s="1"/>
  <c r="S272" i="1"/>
  <c r="S329" i="1" s="1"/>
  <c r="T203" i="1"/>
  <c r="S112" i="1"/>
  <c r="Q160" i="1"/>
  <c r="Q101" i="1" s="1"/>
  <c r="I417" i="1"/>
  <c r="I418" i="1" s="1"/>
  <c r="R162" i="1"/>
  <c r="R210" i="1" s="1"/>
  <c r="S165" i="1"/>
  <c r="S147" i="1"/>
  <c r="S99" i="1" s="1"/>
  <c r="S98" i="1"/>
  <c r="N189" i="1"/>
  <c r="K190" i="1"/>
  <c r="R160" i="1"/>
  <c r="R101" i="1" s="1"/>
  <c r="S227" i="1"/>
  <c r="S263" i="1"/>
  <c r="R208" i="1"/>
  <c r="S262" i="1"/>
  <c r="R262" i="1"/>
  <c r="J417" i="1"/>
  <c r="S208" i="1"/>
  <c r="K409" i="1"/>
  <c r="U156" i="1"/>
  <c r="M420" i="1"/>
  <c r="M406" i="1" s="1"/>
  <c r="U204" i="1" s="1"/>
  <c r="U260" i="1" s="1"/>
  <c r="K415" i="1"/>
  <c r="L412" i="1"/>
  <c r="T221" i="1" s="1"/>
  <c r="T264" i="1" s="1"/>
  <c r="L414" i="1"/>
  <c r="T226" i="1" s="1"/>
  <c r="T266" i="1" s="1"/>
  <c r="L413" i="1"/>
  <c r="T225" i="1" s="1"/>
  <c r="T265" i="1" s="1"/>
  <c r="L407" i="1"/>
  <c r="T205" i="1" s="1"/>
  <c r="L408" i="1"/>
  <c r="T207" i="1" s="1"/>
  <c r="T262" i="1" s="1"/>
  <c r="T146" i="1"/>
  <c r="L421" i="1"/>
  <c r="L411" i="1" s="1"/>
  <c r="T220" i="1" s="1"/>
  <c r="S159" i="1"/>
  <c r="S100" i="1" s="1"/>
  <c r="U144" i="1"/>
  <c r="U151" i="1"/>
  <c r="T272" i="1" l="1"/>
  <c r="T329" i="1" s="1"/>
  <c r="U270" i="1"/>
  <c r="U102" i="1" s="1"/>
  <c r="J418" i="1"/>
  <c r="U203" i="1"/>
  <c r="U112" i="1" s="1"/>
  <c r="T112" i="1"/>
  <c r="T147" i="1"/>
  <c r="T99" i="1" s="1"/>
  <c r="T98" i="1"/>
  <c r="T165" i="1"/>
  <c r="S162" i="1"/>
  <c r="S210" i="1" s="1"/>
  <c r="T227" i="1"/>
  <c r="T263" i="1"/>
  <c r="T208" i="1"/>
  <c r="T261" i="1"/>
  <c r="K417" i="1"/>
  <c r="K418" i="1" s="1"/>
  <c r="T159" i="1"/>
  <c r="T100" i="1" s="1"/>
  <c r="U146" i="1"/>
  <c r="M421" i="1"/>
  <c r="M411" i="1" s="1"/>
  <c r="U220" i="1" s="1"/>
  <c r="L415" i="1"/>
  <c r="S160" i="1"/>
  <c r="S101" i="1" s="1"/>
  <c r="M412" i="1"/>
  <c r="U221" i="1" s="1"/>
  <c r="U264" i="1" s="1"/>
  <c r="M414" i="1"/>
  <c r="U226" i="1" s="1"/>
  <c r="U266" i="1" s="1"/>
  <c r="M407" i="1"/>
  <c r="U205" i="1" s="1"/>
  <c r="U261" i="1" s="1"/>
  <c r="M413" i="1"/>
  <c r="U225" i="1" s="1"/>
  <c r="U265" i="1" s="1"/>
  <c r="M408" i="1"/>
  <c r="U207" i="1" s="1"/>
  <c r="U262" i="1" s="1"/>
  <c r="L409" i="1"/>
  <c r="U272" i="1" l="1"/>
  <c r="U329" i="1" s="1"/>
  <c r="U147" i="1"/>
  <c r="U99" i="1" s="1"/>
  <c r="U98" i="1"/>
  <c r="T162" i="1"/>
  <c r="T210" i="1" s="1"/>
  <c r="U165" i="1"/>
  <c r="U208" i="1"/>
  <c r="U263" i="1"/>
  <c r="U227" i="1"/>
  <c r="T160" i="1"/>
  <c r="T101" i="1" s="1"/>
  <c r="U159" i="1"/>
  <c r="M415" i="1"/>
  <c r="M409" i="1"/>
  <c r="L417" i="1"/>
  <c r="U162" i="1" l="1"/>
  <c r="U210" i="1" s="1"/>
  <c r="C388" i="1"/>
  <c r="C390" i="1" s="1"/>
  <c r="U100" i="1"/>
  <c r="U160" i="1"/>
  <c r="U101" i="1" s="1"/>
  <c r="L418" i="1"/>
  <c r="M417" i="1"/>
  <c r="M418" i="1" s="1"/>
  <c r="C75" i="1" l="1"/>
  <c r="C300" i="1" s="1"/>
  <c r="D300" i="1" s="1"/>
  <c r="C76" i="1"/>
  <c r="Q363" i="1" l="1"/>
  <c r="Q364" i="1" s="1"/>
  <c r="C301" i="1"/>
  <c r="D301" i="1" s="1"/>
  <c r="C85" i="1"/>
  <c r="C314" i="1" l="1"/>
  <c r="D314" i="1" s="1"/>
  <c r="D316" i="1" s="1"/>
  <c r="T163" i="1"/>
  <c r="T164" i="1" s="1"/>
  <c r="Q372" i="1"/>
  <c r="Q280" i="1"/>
  <c r="Q365" i="1"/>
  <c r="Q236" i="1" s="1"/>
  <c r="Q116" i="1" s="1"/>
  <c r="M216" i="1"/>
  <c r="C87" i="1"/>
  <c r="C78" i="1" s="1"/>
  <c r="C304" i="1" s="1"/>
  <c r="D304" i="1" s="1"/>
  <c r="Q163" i="1"/>
  <c r="Q164" i="1" s="1"/>
  <c r="S163" i="1"/>
  <c r="S164" i="1" s="1"/>
  <c r="U163" i="1"/>
  <c r="U164" i="1" s="1"/>
  <c r="R163" i="1"/>
  <c r="R164" i="1" s="1"/>
  <c r="C316" i="1" l="1"/>
  <c r="E315" i="1" s="1"/>
  <c r="C80" i="1"/>
  <c r="D79" i="1" s="1"/>
  <c r="C393" i="1"/>
  <c r="Q373" i="1"/>
  <c r="Q281" i="1"/>
  <c r="R363" i="1"/>
  <c r="Q366" i="1"/>
  <c r="Q368" i="1" s="1"/>
  <c r="P216" i="1"/>
  <c r="Q216" i="1" s="1"/>
  <c r="R216" i="1" s="1"/>
  <c r="S216" i="1" s="1"/>
  <c r="T216" i="1" s="1"/>
  <c r="U216" i="1" s="1"/>
  <c r="M246" i="1"/>
  <c r="M213" i="1" s="1"/>
  <c r="R259" i="1"/>
  <c r="R167" i="1"/>
  <c r="T259" i="1"/>
  <c r="T167" i="1"/>
  <c r="U259" i="1"/>
  <c r="U167" i="1"/>
  <c r="S259" i="1"/>
  <c r="S167" i="1"/>
  <c r="Q259" i="1"/>
  <c r="Q167" i="1"/>
  <c r="E314" i="1" l="1"/>
  <c r="E312" i="1"/>
  <c r="E313" i="1"/>
  <c r="D77" i="1"/>
  <c r="C64" i="1" s="1"/>
  <c r="Q237" i="1"/>
  <c r="Q117" i="1" s="1"/>
  <c r="R371" i="1"/>
  <c r="Q374" i="1"/>
  <c r="Q376" i="1" s="1"/>
  <c r="R364" i="1"/>
  <c r="P246" i="1"/>
  <c r="P248" i="1" s="1"/>
  <c r="P213" i="1"/>
  <c r="Q213" i="1" s="1"/>
  <c r="D78" i="1"/>
  <c r="D76" i="1"/>
  <c r="D75" i="1"/>
  <c r="C48" i="1" s="1"/>
  <c r="D74" i="1"/>
  <c r="E316" i="1" l="1"/>
  <c r="R372" i="1"/>
  <c r="R280" i="1"/>
  <c r="R365" i="1"/>
  <c r="R366" i="1" s="1"/>
  <c r="R368" i="1" s="1"/>
  <c r="R213" i="1"/>
  <c r="Q217" i="1"/>
  <c r="D80" i="1"/>
  <c r="C56" i="1"/>
  <c r="P217" i="1"/>
  <c r="P250" i="1" s="1"/>
  <c r="R236" i="1" l="1"/>
  <c r="R116" i="1" s="1"/>
  <c r="S363" i="1"/>
  <c r="S364" i="1" s="1"/>
  <c r="S280" i="1" s="1"/>
  <c r="R373" i="1"/>
  <c r="R281" i="1"/>
  <c r="S213" i="1"/>
  <c r="R217" i="1"/>
  <c r="S365" i="1" l="1"/>
  <c r="T363" i="1" s="1"/>
  <c r="T364" i="1" s="1"/>
  <c r="T280" i="1" s="1"/>
  <c r="R237" i="1"/>
  <c r="R117" i="1" s="1"/>
  <c r="R374" i="1"/>
  <c r="R376" i="1" s="1"/>
  <c r="S371" i="1"/>
  <c r="S372" i="1" s="1"/>
  <c r="T213" i="1"/>
  <c r="S217" i="1"/>
  <c r="T365" i="1" l="1"/>
  <c r="T366" i="1" s="1"/>
  <c r="T368" i="1" s="1"/>
  <c r="S236" i="1"/>
  <c r="S116" i="1" s="1"/>
  <c r="S366" i="1"/>
  <c r="S368" i="1" s="1"/>
  <c r="S373" i="1"/>
  <c r="S374" i="1" s="1"/>
  <c r="S376" i="1" s="1"/>
  <c r="S281" i="1"/>
  <c r="U213" i="1"/>
  <c r="U217" i="1" s="1"/>
  <c r="T217" i="1"/>
  <c r="U363" i="1" l="1"/>
  <c r="U364" i="1" s="1"/>
  <c r="U280" i="1" s="1"/>
  <c r="T236" i="1"/>
  <c r="T116" i="1" s="1"/>
  <c r="S237" i="1"/>
  <c r="S117" i="1" s="1"/>
  <c r="T371" i="1"/>
  <c r="U365" i="1" l="1"/>
  <c r="U366" i="1" s="1"/>
  <c r="U368" i="1" s="1"/>
  <c r="T372" i="1"/>
  <c r="U236" i="1" l="1"/>
  <c r="U116" i="1" s="1"/>
  <c r="T373" i="1"/>
  <c r="T281" i="1"/>
  <c r="T237" i="1" l="1"/>
  <c r="T117" i="1" s="1"/>
  <c r="U371" i="1"/>
  <c r="T374" i="1"/>
  <c r="T376" i="1" s="1"/>
  <c r="U372" i="1" l="1"/>
  <c r="U373" i="1" l="1"/>
  <c r="U281" i="1"/>
  <c r="U237" i="1" l="1"/>
  <c r="U117" i="1" s="1"/>
  <c r="U374" i="1"/>
  <c r="U376" i="1" s="1"/>
  <c r="Q105" i="1" l="1"/>
  <c r="R105" i="1"/>
  <c r="S105" i="1"/>
  <c r="T105" i="1"/>
  <c r="U105" i="1"/>
  <c r="Q106" i="1"/>
  <c r="R106" i="1"/>
  <c r="S106" i="1"/>
  <c r="T106" i="1"/>
  <c r="U106" i="1"/>
  <c r="Q114" i="1"/>
  <c r="R114" i="1"/>
  <c r="S114" i="1"/>
  <c r="T114" i="1"/>
  <c r="U114" i="1"/>
  <c r="Q115" i="1"/>
  <c r="R115" i="1"/>
  <c r="S115" i="1"/>
  <c r="T115" i="1"/>
  <c r="U115" i="1"/>
  <c r="Q118" i="1"/>
  <c r="R118" i="1"/>
  <c r="S118" i="1"/>
  <c r="T118" i="1"/>
  <c r="U118" i="1"/>
  <c r="Q120" i="1"/>
  <c r="R120" i="1"/>
  <c r="S120" i="1"/>
  <c r="T120" i="1"/>
  <c r="U120" i="1"/>
  <c r="Q121" i="1"/>
  <c r="R121" i="1"/>
  <c r="S121" i="1"/>
  <c r="T121" i="1"/>
  <c r="U121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71" i="1"/>
  <c r="R171" i="1"/>
  <c r="S171" i="1"/>
  <c r="T171" i="1"/>
  <c r="U171" i="1"/>
  <c r="Q173" i="1"/>
  <c r="R173" i="1"/>
  <c r="S173" i="1"/>
  <c r="T173" i="1"/>
  <c r="U173" i="1"/>
  <c r="Q185" i="1"/>
  <c r="R185" i="1"/>
  <c r="S185" i="1"/>
  <c r="T185" i="1"/>
  <c r="U185" i="1"/>
  <c r="Q186" i="1"/>
  <c r="R186" i="1"/>
  <c r="S186" i="1"/>
  <c r="T186" i="1"/>
  <c r="U186" i="1"/>
  <c r="Q189" i="1"/>
  <c r="R189" i="1"/>
  <c r="S189" i="1"/>
  <c r="T189" i="1"/>
  <c r="U189" i="1"/>
  <c r="Q190" i="1"/>
  <c r="R190" i="1"/>
  <c r="S190" i="1"/>
  <c r="T190" i="1"/>
  <c r="U190" i="1"/>
  <c r="Q234" i="1"/>
  <c r="R234" i="1"/>
  <c r="S234" i="1"/>
  <c r="T234" i="1"/>
  <c r="U234" i="1"/>
  <c r="Q235" i="1"/>
  <c r="R235" i="1"/>
  <c r="S235" i="1"/>
  <c r="T235" i="1"/>
  <c r="U235" i="1"/>
  <c r="Q238" i="1"/>
  <c r="R238" i="1"/>
  <c r="S238" i="1"/>
  <c r="T238" i="1"/>
  <c r="U238" i="1"/>
  <c r="Q246" i="1"/>
  <c r="R246" i="1"/>
  <c r="S246" i="1"/>
  <c r="T246" i="1"/>
  <c r="U246" i="1"/>
  <c r="Q248" i="1"/>
  <c r="R248" i="1"/>
  <c r="S248" i="1"/>
  <c r="T248" i="1"/>
  <c r="U248" i="1"/>
  <c r="Q250" i="1"/>
  <c r="R250" i="1"/>
  <c r="S250" i="1"/>
  <c r="T250" i="1"/>
  <c r="U250" i="1"/>
  <c r="AC250" i="1"/>
  <c r="Q258" i="1"/>
  <c r="R258" i="1"/>
  <c r="S258" i="1"/>
  <c r="T258" i="1"/>
  <c r="U258" i="1"/>
  <c r="Q267" i="1"/>
  <c r="R267" i="1"/>
  <c r="S267" i="1"/>
  <c r="T267" i="1"/>
  <c r="U267" i="1"/>
  <c r="Q274" i="1"/>
  <c r="R274" i="1"/>
  <c r="S274" i="1"/>
  <c r="T274" i="1"/>
  <c r="U274" i="1"/>
  <c r="Q278" i="1"/>
  <c r="R278" i="1"/>
  <c r="S278" i="1"/>
  <c r="T278" i="1"/>
  <c r="U278" i="1"/>
  <c r="Q279" i="1"/>
  <c r="R279" i="1"/>
  <c r="S279" i="1"/>
  <c r="T279" i="1"/>
  <c r="U279" i="1"/>
  <c r="Q284" i="1"/>
  <c r="R284" i="1"/>
  <c r="S284" i="1"/>
  <c r="T284" i="1"/>
  <c r="U284" i="1"/>
  <c r="Q286" i="1"/>
  <c r="R286" i="1"/>
  <c r="S286" i="1"/>
  <c r="T286" i="1"/>
  <c r="U286" i="1"/>
  <c r="R287" i="1"/>
  <c r="S287" i="1"/>
  <c r="T287" i="1"/>
  <c r="U287" i="1"/>
  <c r="Q288" i="1"/>
  <c r="R288" i="1"/>
  <c r="S288" i="1"/>
  <c r="T288" i="1"/>
  <c r="U288" i="1"/>
  <c r="K299" i="1"/>
  <c r="K300" i="1"/>
  <c r="Q328" i="1"/>
  <c r="R328" i="1"/>
  <c r="S328" i="1"/>
  <c r="T328" i="1"/>
  <c r="U328" i="1"/>
  <c r="Q330" i="1"/>
  <c r="R330" i="1"/>
  <c r="S330" i="1"/>
  <c r="T330" i="1"/>
  <c r="U330" i="1"/>
  <c r="R332" i="1"/>
  <c r="S332" i="1"/>
  <c r="T332" i="1"/>
  <c r="U332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9" i="1"/>
  <c r="R339" i="1"/>
  <c r="S339" i="1"/>
  <c r="T339" i="1"/>
  <c r="U339" i="1"/>
  <c r="Q342" i="1"/>
  <c r="R342" i="1"/>
  <c r="S342" i="1"/>
  <c r="T342" i="1"/>
  <c r="U342" i="1"/>
  <c r="Q343" i="1"/>
  <c r="R343" i="1"/>
  <c r="S343" i="1"/>
  <c r="T343" i="1"/>
  <c r="U343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1" i="1"/>
  <c r="R351" i="1"/>
  <c r="S351" i="1"/>
  <c r="T351" i="1"/>
  <c r="U351" i="1"/>
  <c r="R354" i="1"/>
  <c r="S354" i="1"/>
  <c r="T354" i="1"/>
  <c r="U354" i="1"/>
  <c r="Q355" i="1"/>
  <c r="R355" i="1"/>
  <c r="S355" i="1"/>
  <c r="T355" i="1"/>
  <c r="U355" i="1"/>
  <c r="Q357" i="1"/>
  <c r="R357" i="1"/>
  <c r="S357" i="1"/>
  <c r="T357" i="1"/>
  <c r="U357" i="1"/>
  <c r="Q358" i="1"/>
  <c r="R358" i="1"/>
  <c r="S358" i="1"/>
  <c r="T358" i="1"/>
  <c r="U358" i="1"/>
  <c r="Q360" i="1"/>
  <c r="R360" i="1"/>
  <c r="S360" i="1"/>
  <c r="T360" i="1"/>
  <c r="U360" i="1"/>
  <c r="C391" i="1"/>
  <c r="C392" i="1"/>
  <c r="C396" i="1"/>
  <c r="C397" i="1"/>
</calcChain>
</file>

<file path=xl/sharedStrings.xml><?xml version="1.0" encoding="utf-8"?>
<sst xmlns="http://schemas.openxmlformats.org/spreadsheetml/2006/main" count="437" uniqueCount="284">
  <si>
    <t>Twitter LBO</t>
  </si>
  <si>
    <t>Carlos Arias - LBO Model</t>
  </si>
  <si>
    <t>READ ME</t>
  </si>
  <si>
    <t>INCOME STATEMENT</t>
  </si>
  <si>
    <t>BALANCE SHEET</t>
  </si>
  <si>
    <t>Historical Statements</t>
  </si>
  <si>
    <t>Projection Period</t>
  </si>
  <si>
    <t>LTM</t>
  </si>
  <si>
    <t>CAGR</t>
  </si>
  <si>
    <t>Sales</t>
  </si>
  <si>
    <t>% Growth</t>
  </si>
  <si>
    <t>Cost of Goods Sold</t>
  </si>
  <si>
    <t>% of Sales</t>
  </si>
  <si>
    <t>Gross Operating Profit</t>
  </si>
  <si>
    <t>R&amp;D</t>
  </si>
  <si>
    <t>SG&amp;A</t>
  </si>
  <si>
    <t>EBITDA</t>
  </si>
  <si>
    <t>Depreciation</t>
  </si>
  <si>
    <t>EBIT</t>
  </si>
  <si>
    <t>Net Interest Expense</t>
  </si>
  <si>
    <t>2018 10-K</t>
  </si>
  <si>
    <t>https://www.sec.gov/Archives/edgar/data/1418091/000156459019003523/twtr-10k_20181231.htm</t>
  </si>
  <si>
    <t>2020 10-K</t>
  </si>
  <si>
    <t>2019 10-K</t>
  </si>
  <si>
    <t>2021 10-K</t>
  </si>
  <si>
    <t>(2017-2021)</t>
  </si>
  <si>
    <t>Interest Expense</t>
  </si>
  <si>
    <t>Interest Income</t>
  </si>
  <si>
    <t>Historical  Statements</t>
  </si>
  <si>
    <t>Adjustments</t>
  </si>
  <si>
    <t>PF Closing</t>
  </si>
  <si>
    <t>Add</t>
  </si>
  <si>
    <t>Subtract</t>
  </si>
  <si>
    <t>ASSETS</t>
  </si>
  <si>
    <t>Cash and Cash Equivalents</t>
  </si>
  <si>
    <t>Accounts Receivable</t>
  </si>
  <si>
    <t>Other Current Assets</t>
  </si>
  <si>
    <t>Total Current Assets</t>
  </si>
  <si>
    <t>PP&amp;E, Net</t>
  </si>
  <si>
    <t>Goodwill</t>
  </si>
  <si>
    <t>Total Assets</t>
  </si>
  <si>
    <t>LIABILITIES</t>
  </si>
  <si>
    <t>Accounts Payable</t>
  </si>
  <si>
    <t>Accrued and Other Current Liabilities</t>
  </si>
  <si>
    <t>Total Current Liabilities</t>
  </si>
  <si>
    <t>Total liabilities</t>
  </si>
  <si>
    <t>SHAREHOLDERS' EQUITY</t>
  </si>
  <si>
    <t>Common Stock</t>
  </si>
  <si>
    <t>Treasury Stock</t>
  </si>
  <si>
    <t>Retained Earnings</t>
  </si>
  <si>
    <t>Accumulated Other Comprehensive Loss</t>
  </si>
  <si>
    <t>Total Shareholders' Equity</t>
  </si>
  <si>
    <t>Total Liabilities and Shareholders' Equity</t>
  </si>
  <si>
    <t>Check</t>
  </si>
  <si>
    <t>Intagible Assets, Net</t>
  </si>
  <si>
    <t>Deferred Tax Assets, Net</t>
  </si>
  <si>
    <t>Convertible Notes, Short-term</t>
  </si>
  <si>
    <t>Operating Lease Liabilities, Short-term</t>
  </si>
  <si>
    <t>Converting Notes, Long-Term</t>
  </si>
  <si>
    <t>Senior Notes, Long, Term</t>
  </si>
  <si>
    <t>Operating Lease Liabilities, Long Term</t>
  </si>
  <si>
    <t>Finance Lease Liabilities, Long Term</t>
  </si>
  <si>
    <t>Additional paid-in Capital</t>
  </si>
  <si>
    <t>CASH FLOW STATEMENT</t>
  </si>
  <si>
    <t>Cash Flow from Operations:</t>
  </si>
  <si>
    <t>Net Income</t>
  </si>
  <si>
    <t>Cash Flow from Operations</t>
  </si>
  <si>
    <t>Cash Flow from Investing:</t>
  </si>
  <si>
    <t>Cash Flow from Investing</t>
  </si>
  <si>
    <t>Beginning Cash Balance</t>
  </si>
  <si>
    <t>Year 1</t>
  </si>
  <si>
    <t>Year 2</t>
  </si>
  <si>
    <t>Year 3</t>
  </si>
  <si>
    <t xml:space="preserve">Year 4 </t>
  </si>
  <si>
    <t>Year 5</t>
  </si>
  <si>
    <t>DEBT SCHEDULE</t>
  </si>
  <si>
    <t>Cash Available for Debt Repayment</t>
  </si>
  <si>
    <t>Total Mandatory Payments</t>
  </si>
  <si>
    <t>Cash from Balance Sheet</t>
  </si>
  <si>
    <t>Amount</t>
  </si>
  <si>
    <t>Interest Rate</t>
  </si>
  <si>
    <t>Beginning Balance</t>
  </si>
  <si>
    <t>Ending Balance</t>
  </si>
  <si>
    <t>Cash</t>
  </si>
  <si>
    <t>Year 4</t>
  </si>
  <si>
    <t>Inputs</t>
  </si>
  <si>
    <t>Purchase Price</t>
  </si>
  <si>
    <t>Trasnaction Fees</t>
  </si>
  <si>
    <t>Financing Fees</t>
  </si>
  <si>
    <t>LTM EBITDA</t>
  </si>
  <si>
    <t>Sources</t>
  </si>
  <si>
    <t>1st Lien Revolver</t>
  </si>
  <si>
    <t>1st Lien Term Loan</t>
  </si>
  <si>
    <t>Senior Secured Increasing Rate Secured Bridge Loan</t>
  </si>
  <si>
    <t>Senior Unsecured Increasing Rate Unsecured Bridge Loans</t>
  </si>
  <si>
    <t>Uses</t>
  </si>
  <si>
    <t>Enterprise Value</t>
  </si>
  <si>
    <t>Transaction Fees</t>
  </si>
  <si>
    <t>Total Uses</t>
  </si>
  <si>
    <t>Total Sources</t>
  </si>
  <si>
    <t>Multiple of EBITDA</t>
  </si>
  <si>
    <t>Debt Assumptions</t>
  </si>
  <si>
    <t>1-Month SOFR Curve</t>
  </si>
  <si>
    <t>$ Amount</t>
  </si>
  <si>
    <t>Senior Secured Increasing Rate Secured Brdige Loan</t>
  </si>
  <si>
    <t>Interest Rate Spread</t>
  </si>
  <si>
    <t>Revolver</t>
  </si>
  <si>
    <t>Multipler of EBITDA -Drawn</t>
  </si>
  <si>
    <t>Multiple of EBITDA -Maximum</t>
  </si>
  <si>
    <t>Elon Musk Equity and Others</t>
  </si>
  <si>
    <t>% of Capital</t>
  </si>
  <si>
    <t>Depreciation &amp; Amortization</t>
  </si>
  <si>
    <t>SG&amp;A w/ D&amp;A</t>
  </si>
  <si>
    <t>SG&amp;A without/ D&amp;A</t>
  </si>
  <si>
    <t>R&amp;D w/ Amortization</t>
  </si>
  <si>
    <t>Amortization of Goodwill and Intangibles</t>
  </si>
  <si>
    <t>R&amp;D without/ Amortization</t>
  </si>
  <si>
    <t>Total D&amp;A</t>
  </si>
  <si>
    <t>Currency Exchange Gains (Loss)</t>
  </si>
  <si>
    <t>Other Non-Operating Inc. (Exp.)</t>
  </si>
  <si>
    <t>Earnings Before Tax</t>
  </si>
  <si>
    <t>Impairment of Goodwill</t>
  </si>
  <si>
    <t>Gain (Loss) On Sale of Invest</t>
  </si>
  <si>
    <t>Gain (Loss) On Sale of Assets</t>
  </si>
  <si>
    <t>Legal Settlements</t>
  </si>
  <si>
    <t>Other Unusual Items</t>
  </si>
  <si>
    <t>One-Time Expenses</t>
  </si>
  <si>
    <t>Income Tax Expense</t>
  </si>
  <si>
    <t>Employees - June 30, 2022</t>
  </si>
  <si>
    <t>Benefits</t>
  </si>
  <si>
    <t>Layoff %</t>
  </si>
  <si>
    <t>Layoffs</t>
  </si>
  <si>
    <t xml:space="preserve"> </t>
  </si>
  <si>
    <t>Salaries &amp; Benefits - Pre Transaction</t>
  </si>
  <si>
    <t>Salaries &amp; Benefits - Post Transaction</t>
  </si>
  <si>
    <t>LTM June 30, 2022</t>
  </si>
  <si>
    <t>Total</t>
  </si>
  <si>
    <t>Pre-Transaction</t>
  </si>
  <si>
    <t>Post-Transaction</t>
  </si>
  <si>
    <t>Prepaid Expenses</t>
  </si>
  <si>
    <t>Restricted Cash</t>
  </si>
  <si>
    <t>Long-Term Investments</t>
  </si>
  <si>
    <t>Other Long-Term Assets</t>
  </si>
  <si>
    <t>Other Current Liabilities</t>
  </si>
  <si>
    <t>Income Taxes Payable</t>
  </si>
  <si>
    <t>Current Unearned Revenue</t>
  </si>
  <si>
    <t>Total Operating Current Assets</t>
  </si>
  <si>
    <t>Total Operating Current Liabilities</t>
  </si>
  <si>
    <t>Net Working Capital</t>
  </si>
  <si>
    <t>Change in Net Working Capital ($)</t>
  </si>
  <si>
    <t>Revenue</t>
  </si>
  <si>
    <t>COGS</t>
  </si>
  <si>
    <t>Accounts Receivable (Days)</t>
  </si>
  <si>
    <t>Accrued and Other Current Liabilities (%-Sales)</t>
  </si>
  <si>
    <t>Current Unearned Revenue (%-Sales)</t>
  </si>
  <si>
    <t>Other Current Liabilities (%-Sales)</t>
  </si>
  <si>
    <t>Accounts Payable (Days)</t>
  </si>
  <si>
    <t>Prepaid Expenses (%-Sales)</t>
  </si>
  <si>
    <t>Other Current Assets (%-Sales)</t>
  </si>
  <si>
    <t>Changes in Accounts Receivable</t>
  </si>
  <si>
    <t>Changes in Prepaid Expenses</t>
  </si>
  <si>
    <t>Changes in Other Current Assets</t>
  </si>
  <si>
    <t>Accrued Expenses</t>
  </si>
  <si>
    <t>Capital Expenditure</t>
  </si>
  <si>
    <t>% - Sales</t>
  </si>
  <si>
    <t>Free Cash Flow Available for Debt Repayment</t>
  </si>
  <si>
    <t>Income Tax Rate</t>
  </si>
  <si>
    <t>Cash Flow From Financing Activities</t>
  </si>
  <si>
    <t>Senior Unsecured Increasing Rate Unsecured Bridge Loan</t>
  </si>
  <si>
    <t>Cash on Balance Sheet</t>
  </si>
  <si>
    <t>Minimum Cash Balance</t>
  </si>
  <si>
    <t>Borrowings / Repayments</t>
  </si>
  <si>
    <t>Cash Flow From Financing</t>
  </si>
  <si>
    <t>Change in Cash</t>
  </si>
  <si>
    <t>Beginning Cash</t>
  </si>
  <si>
    <t>Ending Cash</t>
  </si>
  <si>
    <t>Cash Available for 1st Lien Revolver</t>
  </si>
  <si>
    <t>Net Borrowings</t>
  </si>
  <si>
    <t>Borrowings / (Repayments) - 1st Lien Revolver</t>
  </si>
  <si>
    <t>Cash Available for Senior Secured Increasing Rate Secured Bridge Loan</t>
  </si>
  <si>
    <t>Cash Available for 1st Lien Term Loan</t>
  </si>
  <si>
    <t>Interest Expense - 1st Lien Revolver</t>
  </si>
  <si>
    <t>Interest Rate - 1st Lien Revolver</t>
  </si>
  <si>
    <t>Average Balance</t>
  </si>
  <si>
    <t>Less: Mandatory Amortization</t>
  </si>
  <si>
    <t>Interest Rate - 1st Lien Term Loan</t>
  </si>
  <si>
    <t>Interest Expense - 1st Lien Term Loan</t>
  </si>
  <si>
    <t>Senior Secured Increasing Rate Unsecured Bridge Loan</t>
  </si>
  <si>
    <t>Equity Investment</t>
  </si>
  <si>
    <t>1st Lien Term Loan (Mandatory Amortization)</t>
  </si>
  <si>
    <t>Return Analysis</t>
  </si>
  <si>
    <t>Equity Value</t>
  </si>
  <si>
    <t>Exit Multiple</t>
  </si>
  <si>
    <t>Implied Enterprise Value</t>
  </si>
  <si>
    <t>Implied Equity Value</t>
  </si>
  <si>
    <t>Returns</t>
  </si>
  <si>
    <t>IRR</t>
  </si>
  <si>
    <t>MOIC</t>
  </si>
  <si>
    <t>Entry Multiple</t>
  </si>
  <si>
    <t>Net Debt</t>
  </si>
  <si>
    <t>Total Debt</t>
  </si>
  <si>
    <t>Original Investment</t>
  </si>
  <si>
    <t>https://www.sec.gov/ix?doc=/Archives/edgar/data/0001418091/000141809122000029/twtr-20211231.htm</t>
  </si>
  <si>
    <t>https://www.sec.gov/ix?doc=/Archives/edgar/data/0001418091/000141809121000031/twtr-20201231.htm</t>
  </si>
  <si>
    <t>https://www.sec.gov/ix?doc=/Archives/edgar/data/0001418091/000141809120000037/twtr-20191231.htm</t>
  </si>
  <si>
    <t>2017 10-K</t>
  </si>
  <si>
    <t>https://www.sec.gov/Archives/edgar/data/1418091/000156459018003046/twtr-10k_20171231.htm</t>
  </si>
  <si>
    <t>2022 Q1 10-Q</t>
  </si>
  <si>
    <t>2022 Q2 10-Q</t>
  </si>
  <si>
    <t>https://www.sec.gov/ix?doc=/Archives/edgar/data/0001418091/000141809122000147/twtr-20220630.htm</t>
  </si>
  <si>
    <t>https://www.sec.gov/ix?doc=/Archives/edgar/data/0001418091/000141809122000075/twtr-20220331.htm</t>
  </si>
  <si>
    <t>2021 Q1 10-Q</t>
  </si>
  <si>
    <t>2021 Q2 10-Q</t>
  </si>
  <si>
    <t>https://www.sec.gov/ix?doc=/Archives/edgar/data/0001418091/000141809121000085/twtr-20210331.htm</t>
  </si>
  <si>
    <t>https://www.sec.gov/ix?doc=/Archives/edgar/data/0001418091/000141809121000155/twtr-20210630.htm</t>
  </si>
  <si>
    <t>TRANSACTION SUMMARY</t>
  </si>
  <si>
    <t>Source</t>
  </si>
  <si>
    <t>Multiple of</t>
  </si>
  <si>
    <t>New Debt</t>
  </si>
  <si>
    <t>1 Lien Term Loan</t>
  </si>
  <si>
    <t>Equity</t>
  </si>
  <si>
    <t>% of Total</t>
  </si>
  <si>
    <t>Use</t>
  </si>
  <si>
    <t>Exit Year</t>
  </si>
  <si>
    <t xml:space="preserve">IRR </t>
  </si>
  <si>
    <t>SUMMARY FINANCIAL DATA</t>
  </si>
  <si>
    <t>Gross Profit</t>
  </si>
  <si>
    <t>Cash Interest Expense</t>
  </si>
  <si>
    <t>Total Interest Expense</t>
  </si>
  <si>
    <t>SOURCES AND USES</t>
  </si>
  <si>
    <t>INPUTS</t>
  </si>
  <si>
    <t>SUMMARY CAPITALIZATION</t>
  </si>
  <si>
    <t>Shareholders' Equity</t>
  </si>
  <si>
    <t>Total Capitalization</t>
  </si>
  <si>
    <t>SUMMARY CREDIT STATISTICS</t>
  </si>
  <si>
    <t>% Debt to Total Capitalization</t>
  </si>
  <si>
    <t>EBITDA / Cash Interest Expense</t>
  </si>
  <si>
    <t>(EBITDA - Capex) / Cash Interest Expense</t>
  </si>
  <si>
    <t>EBITDA / Total Interest Expense</t>
  </si>
  <si>
    <t>(EBITDA - Capex) / Total Interest Expense</t>
  </si>
  <si>
    <t>Total Debt / EBITDA</t>
  </si>
  <si>
    <t>Net Debt / EBITDA</t>
  </si>
  <si>
    <t>Capital Expenditures</t>
  </si>
  <si>
    <t>RETURN ANALYSIS</t>
  </si>
  <si>
    <t>NET WORKING CAPITAL SCHEDULE</t>
  </si>
  <si>
    <t>EMPLOYEE SALARIES - SCHEDULE</t>
  </si>
  <si>
    <t>TWITTER USERS - BLUE VERIFICATION</t>
  </si>
  <si>
    <t>Average Salary</t>
  </si>
  <si>
    <t xml:space="preserve">Total Salary </t>
  </si>
  <si>
    <t>Annual Active Users</t>
  </si>
  <si>
    <t>Daily Active Users</t>
  </si>
  <si>
    <t>Daily Active Users in US</t>
  </si>
  <si>
    <t>Twitter Blue Pricing</t>
  </si>
  <si>
    <t>Users</t>
  </si>
  <si>
    <t>iOS Pricing (Monthly)</t>
  </si>
  <si>
    <t>Android Pricing (Monthly)</t>
  </si>
  <si>
    <t>Web Pricing (Monthly)</t>
  </si>
  <si>
    <t>Web Pricing (Annually)</t>
  </si>
  <si>
    <t>iOS Pricing (Annually)</t>
  </si>
  <si>
    <t>Operating Scenarios</t>
  </si>
  <si>
    <t>OPERATING SCENARIOS</t>
  </si>
  <si>
    <t>Income Statement Assumptions</t>
  </si>
  <si>
    <t>2014E</t>
  </si>
  <si>
    <t>2015E</t>
  </si>
  <si>
    <t>2016E</t>
  </si>
  <si>
    <t>2017E</t>
  </si>
  <si>
    <t>2018E</t>
  </si>
  <si>
    <t>Sales Growth:</t>
  </si>
  <si>
    <t>Sales Growth</t>
  </si>
  <si>
    <t>COGS %</t>
  </si>
  <si>
    <t>R&amp;D %</t>
  </si>
  <si>
    <t>SG&amp;A %</t>
  </si>
  <si>
    <t>Cash Flow Statement Assumptions</t>
  </si>
  <si>
    <t>30/06/2022</t>
  </si>
  <si>
    <t>Scenarios</t>
  </si>
  <si>
    <t>Select</t>
  </si>
  <si>
    <t>Average Cost (Monthly)</t>
  </si>
  <si>
    <t>Average Cost (Yearly)</t>
  </si>
  <si>
    <t>Twitter's IRR at $54.20</t>
  </si>
  <si>
    <t>Operating</t>
  </si>
  <si>
    <t>Scenario</t>
  </si>
  <si>
    <t>Worst</t>
  </si>
  <si>
    <t>Base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</si>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</sst>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164" formatCode="&quot;Year&quot;\ 0"/>
    <numFmt numFmtId="165" formatCode="0&quot;A&quot;"/>
    <numFmt numFmtId="166" formatCode="mm/dd/yyyy"/>
    <numFmt numFmtId="167" formatCode="0&quot;E&quot;"/>
    <numFmt numFmtId="168" formatCode="0.0%"/>
    <numFmt numFmtId="169" formatCode="0.0"/>
    <numFmt numFmtId="170" formatCode="#,##0.0"/>
    <numFmt numFmtId="171" formatCode="&quot;L + &quot;0"/>
    <numFmt numFmtId="172" formatCode="0.000"/>
    <numFmt numFmtId="173" formatCode="#,##0\x"/>
    <numFmt numFmtId="174" formatCode="0&quot;x&quot;"/>
    <numFmt numFmtId="175" formatCode="0.0&quot;x&quot;"/>
    <numFmt numFmtId="176" formatCode="&quot;$&quot;#,##0.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5"/>
      <color theme="1"/>
      <name val="Book Antiqua"/>
      <family val="1"/>
    </font>
    <font>
      <sz val="10"/>
      <color theme="1"/>
      <name val="Book Antiqua"/>
      <family val="1"/>
    </font>
    <font>
      <sz val="10"/>
      <color theme="0"/>
      <name val="Book Antiqua"/>
      <family val="1"/>
    </font>
    <font>
      <u/>
      <sz val="12"/>
      <color theme="10"/>
      <name val="Calibri"/>
      <family val="2"/>
      <scheme val="minor"/>
    </font>
    <font>
      <b/>
      <sz val="10"/>
      <color theme="0"/>
      <name val="Book Antiqua"/>
      <family val="1"/>
    </font>
    <font>
      <b/>
      <sz val="10"/>
      <color theme="1"/>
      <name val="Book Antiqua"/>
      <family val="1"/>
    </font>
    <font>
      <b/>
      <sz val="10"/>
      <name val="Book Antiqua"/>
      <family val="1"/>
    </font>
    <font>
      <sz val="10"/>
      <color rgb="FF0000FF"/>
      <name val="Book Antiqua"/>
      <family val="1"/>
    </font>
    <font>
      <i/>
      <sz val="10"/>
      <color theme="1"/>
      <name val="Book Antiqua"/>
      <family val="1"/>
    </font>
    <font>
      <sz val="10"/>
      <name val="Book Antiqua"/>
      <family val="1"/>
    </font>
    <font>
      <i/>
      <sz val="10"/>
      <name val="Book Antiqua"/>
      <family val="1"/>
    </font>
    <font>
      <sz val="12"/>
      <color theme="1"/>
      <name val="Calibri"/>
      <family val="2"/>
      <scheme val="minor"/>
    </font>
    <font>
      <b/>
      <u/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u/>
      <sz val="12"/>
      <color theme="10"/>
      <name val="Book Antiqua"/>
      <family val="1"/>
    </font>
    <font>
      <u/>
      <sz val="11"/>
      <color theme="10"/>
      <name val="Calibri"/>
      <family val="2"/>
      <scheme val="minor"/>
    </font>
    <font>
      <b/>
      <sz val="10"/>
      <color rgb="FFFFFFFF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B4C6E7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dashed">
        <color auto="1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22" fillId="0" borderId="0"/>
  </cellStyleXfs>
  <cellXfs count="3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4" fillId="0" borderId="0" xfId="0" applyFont="1"/>
    <xf numFmtId="0" fontId="7" fillId="3" borderId="1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3" fillId="0" borderId="4" xfId="0" applyFont="1" applyBorder="1"/>
    <xf numFmtId="0" fontId="7" fillId="3" borderId="5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7" xfId="0" applyFont="1" applyFill="1" applyBorder="1" applyAlignment="1">
      <alignment horizontal="centerContinuous"/>
    </xf>
    <xf numFmtId="0" fontId="3" fillId="0" borderId="1" xfId="0" applyFont="1" applyBorder="1"/>
    <xf numFmtId="0" fontId="3" fillId="0" borderId="2" xfId="0" applyFont="1" applyBorder="1"/>
    <xf numFmtId="0" fontId="7" fillId="0" borderId="8" xfId="0" applyFont="1" applyBorder="1" applyAlignment="1">
      <alignment horizontal="center"/>
    </xf>
    <xf numFmtId="0" fontId="3" fillId="0" borderId="9" xfId="0" applyFont="1" applyBorder="1"/>
    <xf numFmtId="0" fontId="7" fillId="0" borderId="2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0" xfId="0" applyFont="1" applyBorder="1"/>
    <xf numFmtId="165" fontId="7" fillId="0" borderId="4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0" fontId="3" fillId="0" borderId="12" xfId="0" applyFont="1" applyBorder="1"/>
    <xf numFmtId="0" fontId="7" fillId="0" borderId="4" xfId="0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3" fontId="9" fillId="0" borderId="0" xfId="0" applyNumberFormat="1" applyFont="1"/>
    <xf numFmtId="3" fontId="3" fillId="0" borderId="15" xfId="0" applyNumberFormat="1" applyFont="1" applyBorder="1"/>
    <xf numFmtId="168" fontId="10" fillId="0" borderId="0" xfId="0" applyNumberFormat="1" applyFont="1" applyAlignment="1">
      <alignment horizontal="center"/>
    </xf>
    <xf numFmtId="3" fontId="11" fillId="0" borderId="0" xfId="0" applyNumberFormat="1" applyFont="1"/>
    <xf numFmtId="3" fontId="11" fillId="0" borderId="3" xfId="0" applyNumberFormat="1" applyFont="1" applyBorder="1"/>
    <xf numFmtId="3" fontId="3" fillId="0" borderId="0" xfId="0" applyNumberFormat="1" applyFont="1"/>
    <xf numFmtId="0" fontId="10" fillId="0" borderId="10" xfId="0" applyFont="1" applyBorder="1"/>
    <xf numFmtId="0" fontId="10" fillId="0" borderId="0" xfId="0" applyFont="1"/>
    <xf numFmtId="168" fontId="10" fillId="0" borderId="0" xfId="0" applyNumberFormat="1" applyFont="1"/>
    <xf numFmtId="168" fontId="10" fillId="0" borderId="15" xfId="0" applyNumberFormat="1" applyFont="1" applyBorder="1"/>
    <xf numFmtId="168" fontId="12" fillId="0" borderId="0" xfId="0" applyNumberFormat="1" applyFont="1"/>
    <xf numFmtId="168" fontId="12" fillId="0" borderId="16" xfId="0" applyNumberFormat="1" applyFont="1" applyBorder="1"/>
    <xf numFmtId="3" fontId="11" fillId="0" borderId="16" xfId="0" applyNumberFormat="1" applyFont="1" applyBorder="1"/>
    <xf numFmtId="0" fontId="10" fillId="0" borderId="14" xfId="0" applyFont="1" applyBorder="1"/>
    <xf numFmtId="0" fontId="10" fillId="0" borderId="4" xfId="0" applyFont="1" applyBorder="1"/>
    <xf numFmtId="168" fontId="12" fillId="0" borderId="4" xfId="0" applyNumberFormat="1" applyFont="1" applyBorder="1"/>
    <xf numFmtId="168" fontId="10" fillId="0" borderId="11" xfId="0" applyNumberFormat="1" applyFont="1" applyBorder="1"/>
    <xf numFmtId="168" fontId="12" fillId="0" borderId="13" xfId="0" applyNumberFormat="1" applyFont="1" applyBorder="1"/>
    <xf numFmtId="3" fontId="3" fillId="0" borderId="10" xfId="0" applyNumberFormat="1" applyFont="1" applyBorder="1"/>
    <xf numFmtId="3" fontId="3" fillId="0" borderId="16" xfId="0" applyNumberFormat="1" applyFont="1" applyBorder="1"/>
    <xf numFmtId="168" fontId="3" fillId="0" borderId="10" xfId="0" applyNumberFormat="1" applyFont="1" applyBorder="1"/>
    <xf numFmtId="168" fontId="3" fillId="0" borderId="16" xfId="0" applyNumberFormat="1" applyFont="1" applyBorder="1"/>
    <xf numFmtId="0" fontId="3" fillId="0" borderId="15" xfId="0" applyFont="1" applyBorder="1"/>
    <xf numFmtId="0" fontId="11" fillId="0" borderId="0" xfId="0" applyFont="1"/>
    <xf numFmtId="0" fontId="11" fillId="0" borderId="16" xfId="0" applyFont="1" applyBorder="1"/>
    <xf numFmtId="168" fontId="10" fillId="0" borderId="4" xfId="0" applyNumberFormat="1" applyFont="1" applyBorder="1"/>
    <xf numFmtId="3" fontId="10" fillId="0" borderId="16" xfId="0" applyNumberFormat="1" applyFont="1" applyBorder="1"/>
    <xf numFmtId="0" fontId="3" fillId="0" borderId="14" xfId="0" applyFont="1" applyBorder="1"/>
    <xf numFmtId="3" fontId="9" fillId="0" borderId="4" xfId="0" applyNumberFormat="1" applyFont="1" applyBorder="1"/>
    <xf numFmtId="3" fontId="3" fillId="0" borderId="11" xfId="0" applyNumberFormat="1" applyFont="1" applyBorder="1"/>
    <xf numFmtId="3" fontId="11" fillId="0" borderId="4" xfId="0" applyNumberFormat="1" applyFont="1" applyBorder="1"/>
    <xf numFmtId="3" fontId="11" fillId="0" borderId="13" xfId="0" applyNumberFormat="1" applyFont="1" applyBorder="1"/>
    <xf numFmtId="3" fontId="3" fillId="0" borderId="17" xfId="0" applyNumberFormat="1" applyFont="1" applyBorder="1"/>
    <xf numFmtId="168" fontId="10" fillId="0" borderId="16" xfId="0" applyNumberFormat="1" applyFont="1" applyBorder="1"/>
    <xf numFmtId="0" fontId="3" fillId="0" borderId="16" xfId="0" applyFont="1" applyBorder="1"/>
    <xf numFmtId="168" fontId="10" fillId="0" borderId="13" xfId="0" applyNumberFormat="1" applyFont="1" applyBorder="1"/>
    <xf numFmtId="168" fontId="3" fillId="0" borderId="15" xfId="0" applyNumberFormat="1" applyFont="1" applyBorder="1"/>
    <xf numFmtId="3" fontId="3" fillId="0" borderId="1" xfId="0" applyNumberFormat="1" applyFont="1" applyBorder="1"/>
    <xf numFmtId="3" fontId="3" fillId="0" borderId="3" xfId="0" applyNumberFormat="1" applyFont="1" applyBorder="1"/>
    <xf numFmtId="3" fontId="10" fillId="0" borderId="0" xfId="0" applyNumberFormat="1" applyFont="1"/>
    <xf numFmtId="168" fontId="3" fillId="0" borderId="0" xfId="0" applyNumberFormat="1" applyFont="1"/>
    <xf numFmtId="0" fontId="3" fillId="0" borderId="13" xfId="0" applyFont="1" applyBorder="1"/>
    <xf numFmtId="169" fontId="3" fillId="0" borderId="0" xfId="0" applyNumberFormat="1" applyFont="1"/>
    <xf numFmtId="169" fontId="11" fillId="0" borderId="0" xfId="0" applyNumberFormat="1" applyFont="1"/>
    <xf numFmtId="169" fontId="9" fillId="0" borderId="0" xfId="0" applyNumberFormat="1" applyFont="1"/>
    <xf numFmtId="3" fontId="3" fillId="0" borderId="4" xfId="0" applyNumberFormat="1" applyFont="1" applyBorder="1"/>
    <xf numFmtId="3" fontId="3" fillId="0" borderId="19" xfId="0" applyNumberFormat="1" applyFont="1" applyBorder="1"/>
    <xf numFmtId="168" fontId="10" fillId="0" borderId="20" xfId="0" applyNumberFormat="1" applyFont="1" applyBorder="1"/>
    <xf numFmtId="168" fontId="10" fillId="0" borderId="19" xfId="0" applyNumberFormat="1" applyFont="1" applyBorder="1"/>
    <xf numFmtId="0" fontId="3" fillId="3" borderId="6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1" fontId="9" fillId="0" borderId="0" xfId="0" applyNumberFormat="1" applyFont="1"/>
    <xf numFmtId="3" fontId="3" fillId="0" borderId="13" xfId="0" applyNumberFormat="1" applyFont="1" applyBorder="1"/>
    <xf numFmtId="3" fontId="3" fillId="0" borderId="14" xfId="0" applyNumberFormat="1" applyFont="1" applyBorder="1"/>
    <xf numFmtId="8" fontId="3" fillId="0" borderId="0" xfId="0" applyNumberFormat="1" applyFont="1"/>
    <xf numFmtId="0" fontId="7" fillId="0" borderId="21" xfId="0" applyFont="1" applyBorder="1" applyAlignment="1">
      <alignment horizontal="centerContinuous"/>
    </xf>
    <xf numFmtId="167" fontId="3" fillId="0" borderId="0" xfId="0" applyNumberFormat="1" applyFont="1"/>
    <xf numFmtId="0" fontId="7" fillId="0" borderId="10" xfId="0" applyFont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0" fontId="3" fillId="0" borderId="3" xfId="0" applyFont="1" applyBorder="1"/>
    <xf numFmtId="3" fontId="11" fillId="0" borderId="15" xfId="0" applyNumberFormat="1" applyFont="1" applyBorder="1"/>
    <xf numFmtId="0" fontId="10" fillId="0" borderId="10" xfId="0" applyFont="1" applyBorder="1" applyAlignment="1">
      <alignment horizontal="left" indent="1"/>
    </xf>
    <xf numFmtId="0" fontId="10" fillId="0" borderId="0" xfId="0" applyFont="1" applyAlignment="1">
      <alignment horizontal="left" indent="1"/>
    </xf>
    <xf numFmtId="4" fontId="10" fillId="0" borderId="0" xfId="0" applyNumberFormat="1" applyFont="1"/>
    <xf numFmtId="0" fontId="10" fillId="0" borderId="16" xfId="0" applyFont="1" applyBorder="1"/>
    <xf numFmtId="3" fontId="3" fillId="0" borderId="22" xfId="0" applyNumberFormat="1" applyFont="1" applyBorder="1"/>
    <xf numFmtId="168" fontId="12" fillId="0" borderId="11" xfId="0" applyNumberFormat="1" applyFont="1" applyBorder="1"/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9" fillId="0" borderId="15" xfId="0" applyNumberFormat="1" applyFont="1" applyBorder="1"/>
    <xf numFmtId="0" fontId="3" fillId="0" borderId="11" xfId="0" applyFont="1" applyBorder="1"/>
    <xf numFmtId="0" fontId="3" fillId="0" borderId="21" xfId="0" applyFont="1" applyBorder="1"/>
    <xf numFmtId="4" fontId="4" fillId="0" borderId="0" xfId="0" applyNumberFormat="1" applyFont="1"/>
    <xf numFmtId="10" fontId="3" fillId="0" borderId="0" xfId="0" applyNumberFormat="1" applyFont="1"/>
    <xf numFmtId="168" fontId="12" fillId="0" borderId="20" xfId="0" applyNumberFormat="1" applyFont="1" applyBorder="1"/>
    <xf numFmtId="0" fontId="6" fillId="0" borderId="0" xfId="0" applyFont="1"/>
    <xf numFmtId="0" fontId="8" fillId="3" borderId="1" xfId="0" applyFont="1" applyFill="1" applyBorder="1" applyAlignment="1">
      <alignment horizontal="centerContinuous"/>
    </xf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0" borderId="4" xfId="0" applyFont="1" applyBorder="1"/>
    <xf numFmtId="0" fontId="8" fillId="3" borderId="5" xfId="0" applyFont="1" applyFill="1" applyBorder="1" applyAlignment="1">
      <alignment horizontal="centerContinuous"/>
    </xf>
    <xf numFmtId="0" fontId="6" fillId="3" borderId="6" xfId="0" applyFont="1" applyFill="1" applyBorder="1" applyAlignment="1">
      <alignment horizontal="centerContinuous"/>
    </xf>
    <xf numFmtId="0" fontId="6" fillId="3" borderId="7" xfId="0" applyFont="1" applyFill="1" applyBorder="1" applyAlignment="1">
      <alignment horizontal="centerContinuous"/>
    </xf>
    <xf numFmtId="164" fontId="7" fillId="0" borderId="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7" fontId="7" fillId="0" borderId="16" xfId="0" applyNumberFormat="1" applyFont="1" applyBorder="1" applyAlignment="1">
      <alignment horizontal="center"/>
    </xf>
    <xf numFmtId="0" fontId="7" fillId="0" borderId="1" xfId="0" applyFont="1" applyBorder="1"/>
    <xf numFmtId="0" fontId="10" fillId="0" borderId="2" xfId="0" applyFont="1" applyBorder="1"/>
    <xf numFmtId="3" fontId="10" fillId="0" borderId="2" xfId="0" applyNumberFormat="1" applyFont="1" applyBorder="1"/>
    <xf numFmtId="4" fontId="10" fillId="0" borderId="2" xfId="0" applyNumberFormat="1" applyFont="1" applyBorder="1"/>
    <xf numFmtId="0" fontId="7" fillId="0" borderId="2" xfId="0" applyFont="1" applyBorder="1"/>
    <xf numFmtId="4" fontId="10" fillId="0" borderId="3" xfId="0" applyNumberFormat="1" applyFont="1" applyBorder="1"/>
    <xf numFmtId="0" fontId="3" fillId="0" borderId="10" xfId="0" applyFont="1" applyBorder="1" applyAlignment="1">
      <alignment horizontal="left" indent="2"/>
    </xf>
    <xf numFmtId="0" fontId="3" fillId="0" borderId="10" xfId="0" applyFont="1" applyBorder="1" applyAlignment="1">
      <alignment horizontal="left" indent="4"/>
    </xf>
    <xf numFmtId="0" fontId="3" fillId="0" borderId="0" xfId="0" applyFont="1" applyAlignment="1">
      <alignment horizontal="left" indent="2"/>
    </xf>
    <xf numFmtId="3" fontId="10" fillId="0" borderId="4" xfId="0" applyNumberFormat="1" applyFont="1" applyBorder="1"/>
    <xf numFmtId="4" fontId="10" fillId="0" borderId="16" xfId="0" applyNumberFormat="1" applyFont="1" applyBorder="1"/>
    <xf numFmtId="3" fontId="7" fillId="0" borderId="0" xfId="0" applyNumberFormat="1" applyFont="1"/>
    <xf numFmtId="3" fontId="6" fillId="2" borderId="0" xfId="0" applyNumberFormat="1" applyFont="1" applyFill="1"/>
    <xf numFmtId="164" fontId="8" fillId="0" borderId="0" xfId="0" applyNumberFormat="1" applyFont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0" xfId="0" applyFont="1"/>
    <xf numFmtId="10" fontId="9" fillId="0" borderId="0" xfId="0" applyNumberFormat="1" applyFont="1" applyAlignment="1">
      <alignment horizontal="center"/>
    </xf>
    <xf numFmtId="10" fontId="9" fillId="0" borderId="0" xfId="0" applyNumberFormat="1" applyFont="1"/>
    <xf numFmtId="0" fontId="7" fillId="3" borderId="5" xfId="0" applyFont="1" applyFill="1" applyBorder="1"/>
    <xf numFmtId="0" fontId="3" fillId="3" borderId="6" xfId="0" applyFont="1" applyFill="1" applyBorder="1"/>
    <xf numFmtId="3" fontId="3" fillId="3" borderId="6" xfId="0" applyNumberFormat="1" applyFont="1" applyFill="1" applyBorder="1"/>
    <xf numFmtId="3" fontId="3" fillId="3" borderId="7" xfId="0" applyNumberFormat="1" applyFont="1" applyFill="1" applyBorder="1"/>
    <xf numFmtId="37" fontId="3" fillId="0" borderId="0" xfId="0" applyNumberFormat="1" applyFont="1"/>
    <xf numFmtId="171" fontId="3" fillId="0" borderId="0" xfId="0" applyNumberFormat="1" applyFont="1"/>
    <xf numFmtId="169" fontId="3" fillId="0" borderId="4" xfId="0" applyNumberFormat="1" applyFont="1" applyBorder="1"/>
    <xf numFmtId="37" fontId="3" fillId="0" borderId="4" xfId="0" applyNumberFormat="1" applyFont="1" applyBorder="1"/>
    <xf numFmtId="168" fontId="10" fillId="0" borderId="4" xfId="0" applyNumberFormat="1" applyFont="1" applyBorder="1" applyAlignment="1">
      <alignment horizontal="center"/>
    </xf>
    <xf numFmtId="0" fontId="10" fillId="0" borderId="22" xfId="0" applyFont="1" applyBorder="1"/>
    <xf numFmtId="3" fontId="9" fillId="0" borderId="19" xfId="0" applyNumberFormat="1" applyFont="1" applyBorder="1"/>
    <xf numFmtId="3" fontId="3" fillId="0" borderId="2" xfId="0" applyNumberFormat="1" applyFont="1" applyBorder="1"/>
    <xf numFmtId="1" fontId="3" fillId="0" borderId="0" xfId="0" applyNumberFormat="1" applyFont="1"/>
    <xf numFmtId="172" fontId="3" fillId="0" borderId="0" xfId="0" applyNumberFormat="1" applyFont="1"/>
    <xf numFmtId="168" fontId="3" fillId="0" borderId="4" xfId="0" applyNumberFormat="1" applyFont="1" applyBorder="1"/>
    <xf numFmtId="168" fontId="7" fillId="0" borderId="0" xfId="0" applyNumberFormat="1" applyFont="1"/>
    <xf numFmtId="10" fontId="10" fillId="0" borderId="15" xfId="0" applyNumberFormat="1" applyFont="1" applyBorder="1"/>
    <xf numFmtId="0" fontId="3" fillId="0" borderId="19" xfId="0" applyFont="1" applyBorder="1"/>
    <xf numFmtId="3" fontId="9" fillId="0" borderId="23" xfId="0" applyNumberFormat="1" applyFont="1" applyBorder="1"/>
    <xf numFmtId="1" fontId="3" fillId="0" borderId="19" xfId="0" applyNumberFormat="1" applyFont="1" applyBorder="1"/>
    <xf numFmtId="168" fontId="3" fillId="0" borderId="19" xfId="0" applyNumberFormat="1" applyFont="1" applyBorder="1"/>
    <xf numFmtId="3" fontId="9" fillId="0" borderId="20" xfId="0" applyNumberFormat="1" applyFont="1" applyBorder="1"/>
    <xf numFmtId="1" fontId="9" fillId="0" borderId="19" xfId="0" applyNumberFormat="1" applyFont="1" applyBorder="1"/>
    <xf numFmtId="3" fontId="9" fillId="0" borderId="17" xfId="0" applyNumberFormat="1" applyFont="1" applyBorder="1"/>
    <xf numFmtId="1" fontId="3" fillId="0" borderId="15" xfId="0" applyNumberFormat="1" applyFont="1" applyBorder="1"/>
    <xf numFmtId="3" fontId="9" fillId="0" borderId="11" xfId="0" applyNumberFormat="1" applyFont="1" applyBorder="1"/>
    <xf numFmtId="1" fontId="9" fillId="0" borderId="4" xfId="0" applyNumberFormat="1" applyFont="1" applyBorder="1"/>
    <xf numFmtId="1" fontId="3" fillId="0" borderId="4" xfId="0" applyNumberFormat="1" applyFont="1" applyBorder="1"/>
    <xf numFmtId="1" fontId="3" fillId="0" borderId="20" xfId="0" applyNumberFormat="1" applyFont="1" applyBorder="1"/>
    <xf numFmtId="168" fontId="10" fillId="0" borderId="2" xfId="0" applyNumberFormat="1" applyFont="1" applyBorder="1"/>
    <xf numFmtId="1" fontId="9" fillId="0" borderId="2" xfId="0" applyNumberFormat="1" applyFont="1" applyBorder="1"/>
    <xf numFmtId="1" fontId="9" fillId="0" borderId="23" xfId="0" applyNumberFormat="1" applyFont="1" applyBorder="1"/>
    <xf numFmtId="4" fontId="9" fillId="0" borderId="4" xfId="0" applyNumberFormat="1" applyFont="1" applyBorder="1"/>
    <xf numFmtId="0" fontId="16" fillId="0" borderId="0" xfId="0" applyFont="1"/>
    <xf numFmtId="9" fontId="3" fillId="0" borderId="0" xfId="0" applyNumberFormat="1" applyFont="1"/>
    <xf numFmtId="0" fontId="3" fillId="0" borderId="24" xfId="0" applyFont="1" applyBorder="1"/>
    <xf numFmtId="9" fontId="3" fillId="0" borderId="4" xfId="0" applyNumberFormat="1" applyFont="1" applyBorder="1"/>
    <xf numFmtId="0" fontId="3" fillId="0" borderId="0" xfId="0" applyFont="1" applyAlignment="1">
      <alignment horizontal="right"/>
    </xf>
    <xf numFmtId="10" fontId="3" fillId="0" borderId="4" xfId="0" applyNumberFormat="1" applyFont="1" applyBorder="1"/>
    <xf numFmtId="168" fontId="11" fillId="0" borderId="0" xfId="0" applyNumberFormat="1" applyFont="1"/>
    <xf numFmtId="10" fontId="9" fillId="0" borderId="19" xfId="0" applyNumberFormat="1" applyFont="1" applyBorder="1"/>
    <xf numFmtId="1" fontId="3" fillId="0" borderId="22" xfId="0" applyNumberFormat="1" applyFont="1" applyBorder="1"/>
    <xf numFmtId="3" fontId="7" fillId="0" borderId="4" xfId="0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1" fontId="3" fillId="0" borderId="12" xfId="0" applyNumberFormat="1" applyFont="1" applyBorder="1"/>
    <xf numFmtId="10" fontId="10" fillId="0" borderId="0" xfId="0" applyNumberFormat="1" applyFont="1"/>
    <xf numFmtId="0" fontId="10" fillId="0" borderId="12" xfId="0" applyFont="1" applyBorder="1"/>
    <xf numFmtId="1" fontId="11" fillId="0" borderId="0" xfId="0" applyNumberFormat="1" applyFont="1"/>
    <xf numFmtId="3" fontId="7" fillId="0" borderId="15" xfId="0" applyNumberFormat="1" applyFont="1" applyBorder="1"/>
    <xf numFmtId="4" fontId="9" fillId="0" borderId="0" xfId="0" applyNumberFormat="1" applyFont="1"/>
    <xf numFmtId="3" fontId="3" fillId="0" borderId="12" xfId="0" applyNumberFormat="1" applyFont="1" applyBorder="1"/>
    <xf numFmtId="3" fontId="3" fillId="0" borderId="20" xfId="0" applyNumberFormat="1" applyFont="1" applyBorder="1"/>
    <xf numFmtId="169" fontId="3" fillId="0" borderId="12" xfId="0" applyNumberFormat="1" applyFont="1" applyBorder="1"/>
    <xf numFmtId="3" fontId="3" fillId="0" borderId="6" xfId="0" applyNumberFormat="1" applyFont="1" applyBorder="1"/>
    <xf numFmtId="3" fontId="9" fillId="0" borderId="2" xfId="0" applyNumberFormat="1" applyFont="1" applyBorder="1"/>
    <xf numFmtId="0" fontId="7" fillId="0" borderId="14" xfId="0" applyFont="1" applyBorder="1"/>
    <xf numFmtId="4" fontId="10" fillId="0" borderId="4" xfId="0" applyNumberFormat="1" applyFont="1" applyBorder="1"/>
    <xf numFmtId="4" fontId="10" fillId="0" borderId="13" xfId="0" applyNumberFormat="1" applyFont="1" applyBorder="1"/>
    <xf numFmtId="168" fontId="3" fillId="0" borderId="20" xfId="0" applyNumberFormat="1" applyFont="1" applyBorder="1"/>
    <xf numFmtId="0" fontId="3" fillId="0" borderId="0" xfId="0" applyFont="1" applyAlignment="1">
      <alignment horizontal="left" indent="4"/>
    </xf>
    <xf numFmtId="3" fontId="3" fillId="0" borderId="23" xfId="0" applyNumberFormat="1" applyFont="1" applyBorder="1"/>
    <xf numFmtId="0" fontId="3" fillId="0" borderId="22" xfId="0" applyFont="1" applyBorder="1"/>
    <xf numFmtId="9" fontId="8" fillId="0" borderId="13" xfId="0" applyNumberFormat="1" applyFont="1" applyBorder="1" applyAlignment="1">
      <alignment horizontal="center"/>
    </xf>
    <xf numFmtId="168" fontId="10" fillId="0" borderId="3" xfId="0" applyNumberFormat="1" applyFont="1" applyBorder="1"/>
    <xf numFmtId="168" fontId="10" fillId="0" borderId="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3" borderId="6" xfId="0" applyFont="1" applyFill="1" applyBorder="1"/>
    <xf numFmtId="0" fontId="3" fillId="3" borderId="7" xfId="0" applyFont="1" applyFill="1" applyBorder="1"/>
    <xf numFmtId="0" fontId="15" fillId="0" borderId="0" xfId="0" applyFont="1"/>
    <xf numFmtId="3" fontId="7" fillId="3" borderId="5" xfId="0" applyNumberFormat="1" applyFont="1" applyFill="1" applyBorder="1"/>
    <xf numFmtId="173" fontId="3" fillId="0" borderId="13" xfId="0" applyNumberFormat="1" applyFont="1" applyBorder="1"/>
    <xf numFmtId="0" fontId="17" fillId="0" borderId="0" xfId="1" applyFont="1"/>
    <xf numFmtId="0" fontId="3" fillId="0" borderId="17" xfId="0" applyFont="1" applyBorder="1"/>
    <xf numFmtId="10" fontId="11" fillId="0" borderId="4" xfId="0" applyNumberFormat="1" applyFont="1" applyBorder="1"/>
    <xf numFmtId="3" fontId="8" fillId="0" borderId="0" xfId="0" applyNumberFormat="1" applyFont="1"/>
    <xf numFmtId="3" fontId="11" fillId="0" borderId="2" xfId="0" applyNumberFormat="1" applyFont="1" applyBorder="1"/>
    <xf numFmtId="168" fontId="3" fillId="0" borderId="3" xfId="0" applyNumberFormat="1" applyFont="1" applyBorder="1"/>
    <xf numFmtId="0" fontId="18" fillId="0" borderId="0" xfId="1" applyFont="1"/>
    <xf numFmtId="0" fontId="3" fillId="0" borderId="4" xfId="0" applyFont="1" applyBorder="1" applyAlignment="1">
      <alignment horizontal="left"/>
    </xf>
    <xf numFmtId="174" fontId="3" fillId="0" borderId="4" xfId="0" applyNumberFormat="1" applyFont="1" applyBorder="1"/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4" fontId="3" fillId="0" borderId="16" xfId="0" applyNumberFormat="1" applyFont="1" applyBorder="1"/>
    <xf numFmtId="174" fontId="3" fillId="0" borderId="13" xfId="0" applyNumberFormat="1" applyFont="1" applyBorder="1"/>
    <xf numFmtId="0" fontId="3" fillId="0" borderId="14" xfId="0" applyFont="1" applyBorder="1" applyAlignment="1">
      <alignment horizontal="left"/>
    </xf>
    <xf numFmtId="0" fontId="7" fillId="0" borderId="5" xfId="0" applyFont="1" applyBorder="1"/>
    <xf numFmtId="174" fontId="3" fillId="0" borderId="0" xfId="0" applyNumberFormat="1" applyFont="1"/>
    <xf numFmtId="174" fontId="3" fillId="0" borderId="2" xfId="0" applyNumberFormat="1" applyFont="1" applyBorder="1"/>
    <xf numFmtId="174" fontId="3" fillId="0" borderId="6" xfId="0" applyNumberFormat="1" applyFont="1" applyBorder="1"/>
    <xf numFmtId="168" fontId="3" fillId="0" borderId="7" xfId="0" applyNumberFormat="1" applyFont="1" applyBorder="1"/>
    <xf numFmtId="0" fontId="7" fillId="3" borderId="7" xfId="0" applyFont="1" applyFill="1" applyBorder="1"/>
    <xf numFmtId="173" fontId="3" fillId="0" borderId="16" xfId="0" applyNumberFormat="1" applyFont="1" applyBorder="1"/>
    <xf numFmtId="170" fontId="3" fillId="0" borderId="13" xfId="0" applyNumberFormat="1" applyFont="1" applyBorder="1"/>
    <xf numFmtId="167" fontId="8" fillId="0" borderId="3" xfId="0" applyNumberFormat="1" applyFont="1" applyBorder="1" applyAlignment="1">
      <alignment horizontal="right"/>
    </xf>
    <xf numFmtId="0" fontId="3" fillId="3" borderId="3" xfId="0" applyFont="1" applyFill="1" applyBorder="1" applyAlignment="1">
      <alignment horizontal="centerContinuous"/>
    </xf>
    <xf numFmtId="3" fontId="7" fillId="0" borderId="16" xfId="0" applyNumberFormat="1" applyFont="1" applyBorder="1"/>
    <xf numFmtId="10" fontId="10" fillId="0" borderId="10" xfId="0" applyNumberFormat="1" applyFont="1" applyBorder="1" applyAlignment="1">
      <alignment horizontal="left" indent="1"/>
    </xf>
    <xf numFmtId="10" fontId="10" fillId="0" borderId="0" xfId="0" applyNumberFormat="1" applyFont="1" applyAlignment="1">
      <alignment horizontal="left" indent="1"/>
    </xf>
    <xf numFmtId="3" fontId="3" fillId="0" borderId="18" xfId="0" applyNumberFormat="1" applyFont="1" applyBorder="1"/>
    <xf numFmtId="9" fontId="3" fillId="0" borderId="0" xfId="2" applyFont="1" applyBorder="1"/>
    <xf numFmtId="0" fontId="3" fillId="0" borderId="25" xfId="0" applyFont="1" applyBorder="1"/>
    <xf numFmtId="168" fontId="10" fillId="0" borderId="10" xfId="0" applyNumberFormat="1" applyFont="1" applyBorder="1"/>
    <xf numFmtId="10" fontId="10" fillId="0" borderId="0" xfId="0" applyNumberFormat="1" applyFont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left" indent="1"/>
    </xf>
    <xf numFmtId="168" fontId="10" fillId="0" borderId="14" xfId="0" applyNumberFormat="1" applyFont="1" applyBorder="1"/>
    <xf numFmtId="168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75" fontId="3" fillId="0" borderId="0" xfId="0" applyNumberFormat="1" applyFont="1" applyAlignment="1">
      <alignment horizontal="right"/>
    </xf>
    <xf numFmtId="176" fontId="3" fillId="0" borderId="0" xfId="0" applyNumberFormat="1" applyFont="1"/>
    <xf numFmtId="0" fontId="10" fillId="0" borderId="16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7" fillId="0" borderId="4" xfId="0" applyFont="1" applyBorder="1"/>
    <xf numFmtId="0" fontId="7" fillId="0" borderId="4" xfId="0" applyFont="1" applyBorder="1" applyAlignment="1">
      <alignment horizontal="left"/>
    </xf>
    <xf numFmtId="0" fontId="0" fillId="0" borderId="4" xfId="0" applyBorder="1"/>
    <xf numFmtId="0" fontId="19" fillId="4" borderId="0" xfId="0" applyFont="1" applyFill="1"/>
    <xf numFmtId="0" fontId="19" fillId="0" borderId="0" xfId="0" applyFont="1"/>
    <xf numFmtId="0" fontId="20" fillId="0" borderId="0" xfId="0" applyFont="1"/>
    <xf numFmtId="0" fontId="21" fillId="5" borderId="1" xfId="0" applyFont="1" applyFill="1" applyBorder="1"/>
    <xf numFmtId="0" fontId="21" fillId="0" borderId="0" xfId="0" applyFont="1"/>
    <xf numFmtId="0" fontId="21" fillId="5" borderId="2" xfId="0" applyFont="1" applyFill="1" applyBorder="1"/>
    <xf numFmtId="0" fontId="20" fillId="5" borderId="2" xfId="0" applyFont="1" applyFill="1" applyBorder="1"/>
    <xf numFmtId="0" fontId="20" fillId="5" borderId="3" xfId="0" applyFont="1" applyFill="1" applyBorder="1"/>
    <xf numFmtId="0" fontId="21" fillId="0" borderId="1" xfId="0" applyFont="1" applyBorder="1"/>
    <xf numFmtId="0" fontId="21" fillId="0" borderId="2" xfId="0" applyFont="1" applyBorder="1"/>
    <xf numFmtId="0" fontId="20" fillId="0" borderId="2" xfId="0" applyFont="1" applyBorder="1"/>
    <xf numFmtId="0" fontId="11" fillId="0" borderId="2" xfId="0" applyFont="1" applyBorder="1"/>
    <xf numFmtId="0" fontId="8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14" xfId="0" applyFont="1" applyBorder="1"/>
    <xf numFmtId="0" fontId="20" fillId="0" borderId="4" xfId="0" applyFont="1" applyBorder="1"/>
    <xf numFmtId="0" fontId="8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0" xfId="0" applyFont="1" applyBorder="1"/>
    <xf numFmtId="0" fontId="20" fillId="0" borderId="10" xfId="0" applyFont="1" applyBorder="1"/>
    <xf numFmtId="10" fontId="11" fillId="0" borderId="0" xfId="0" applyNumberFormat="1" applyFont="1"/>
    <xf numFmtId="10" fontId="21" fillId="0" borderId="0" xfId="0" applyNumberFormat="1" applyFont="1"/>
    <xf numFmtId="10" fontId="8" fillId="0" borderId="0" xfId="0" applyNumberFormat="1" applyFont="1"/>
    <xf numFmtId="0" fontId="9" fillId="0" borderId="0" xfId="0" applyFont="1"/>
    <xf numFmtId="0" fontId="21" fillId="0" borderId="14" xfId="0" applyFont="1" applyBorder="1"/>
    <xf numFmtId="0" fontId="21" fillId="0" borderId="4" xfId="0" applyFont="1" applyBorder="1"/>
    <xf numFmtId="10" fontId="21" fillId="0" borderId="4" xfId="0" applyNumberFormat="1" applyFont="1" applyBorder="1"/>
    <xf numFmtId="10" fontId="8" fillId="0" borderId="4" xfId="0" applyNumberFormat="1" applyFont="1" applyBorder="1"/>
    <xf numFmtId="0" fontId="20" fillId="0" borderId="16" xfId="0" applyFont="1" applyBorder="1"/>
    <xf numFmtId="0" fontId="9" fillId="0" borderId="16" xfId="0" applyFont="1" applyBorder="1"/>
    <xf numFmtId="10" fontId="9" fillId="0" borderId="4" xfId="0" applyNumberFormat="1" applyFont="1" applyBorder="1"/>
    <xf numFmtId="10" fontId="9" fillId="0" borderId="13" xfId="0" applyNumberFormat="1" applyFont="1" applyBorder="1"/>
    <xf numFmtId="0" fontId="8" fillId="0" borderId="2" xfId="0" applyFont="1" applyBorder="1"/>
    <xf numFmtId="0" fontId="8" fillId="0" borderId="3" xfId="0" applyFont="1" applyBorder="1"/>
    <xf numFmtId="10" fontId="11" fillId="0" borderId="16" xfId="0" applyNumberFormat="1" applyFont="1" applyBorder="1"/>
    <xf numFmtId="10" fontId="11" fillId="0" borderId="13" xfId="0" applyNumberFormat="1" applyFont="1" applyBorder="1"/>
    <xf numFmtId="0" fontId="21" fillId="0" borderId="0" xfId="0" applyFont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20" fillId="5" borderId="6" xfId="0" applyFont="1" applyFill="1" applyBorder="1"/>
    <xf numFmtId="167" fontId="21" fillId="0" borderId="4" xfId="0" applyNumberFormat="1" applyFont="1" applyBorder="1" applyAlignment="1">
      <alignment horizontal="center"/>
    </xf>
    <xf numFmtId="167" fontId="21" fillId="0" borderId="13" xfId="0" applyNumberFormat="1" applyFont="1" applyBorder="1" applyAlignment="1">
      <alignment horizontal="center"/>
    </xf>
    <xf numFmtId="10" fontId="3" fillId="0" borderId="16" xfId="0" applyNumberFormat="1" applyFont="1" applyBorder="1"/>
    <xf numFmtId="1" fontId="3" fillId="0" borderId="16" xfId="0" applyNumberFormat="1" applyFont="1" applyBorder="1"/>
    <xf numFmtId="1" fontId="3" fillId="0" borderId="13" xfId="0" applyNumberFormat="1" applyFont="1" applyBorder="1"/>
    <xf numFmtId="0" fontId="7" fillId="3" borderId="5" xfId="0" applyFont="1" applyFill="1" applyBorder="1" applyAlignment="1">
      <alignment horizontal="left"/>
    </xf>
    <xf numFmtId="0" fontId="14" fillId="0" borderId="10" xfId="0" applyFont="1" applyBorder="1"/>
    <xf numFmtId="167" fontId="3" fillId="0" borderId="16" xfId="0" applyNumberFormat="1" applyFont="1" applyBorder="1"/>
    <xf numFmtId="0" fontId="1" fillId="0" borderId="16" xfId="0" applyFont="1" applyBorder="1"/>
    <xf numFmtId="10" fontId="3" fillId="0" borderId="13" xfId="0" applyNumberFormat="1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0" fontId="8" fillId="0" borderId="3" xfId="0" applyNumberFormat="1" applyFont="1" applyBorder="1"/>
    <xf numFmtId="9" fontId="3" fillId="0" borderId="0" xfId="2" applyFont="1" applyFill="1"/>
    <xf numFmtId="168" fontId="11" fillId="0" borderId="16" xfId="0" applyNumberFormat="1" applyFont="1" applyBorder="1"/>
    <xf numFmtId="10" fontId="8" fillId="0" borderId="7" xfId="0" applyNumberFormat="1" applyFont="1" applyBorder="1"/>
    <xf numFmtId="0" fontId="21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0" fillId="0" borderId="0" xfId="0" applyNumberFormat="1"/>
    <xf numFmtId="0" fontId="7" fillId="0" borderId="0" xfId="0" applyFont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10" fontId="3" fillId="0" borderId="3" xfId="0" applyNumberFormat="1" applyFont="1" applyBorder="1"/>
    <xf numFmtId="1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175" fontId="3" fillId="0" borderId="0" xfId="0" applyNumberFormat="1" applyFont="1"/>
    <xf numFmtId="0" fontId="7" fillId="0" borderId="26" xfId="0" applyFont="1" applyBorder="1" applyAlignment="1">
      <alignment horizontal="center"/>
    </xf>
    <xf numFmtId="1" fontId="7" fillId="0" borderId="26" xfId="0" applyNumberFormat="1" applyFont="1" applyBorder="1" applyAlignment="1">
      <alignment horizontal="center"/>
    </xf>
    <xf numFmtId="10" fontId="3" fillId="0" borderId="2" xfId="0" applyNumberFormat="1" applyFont="1" applyBorder="1"/>
    <xf numFmtId="1" fontId="7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175" fontId="3" fillId="0" borderId="13" xfId="0" applyNumberFormat="1" applyFont="1" applyBorder="1"/>
  </cellXfs>
  <cellStyles count="4">
    <cellStyle name="Hyperlink" xfId="1" builtinId="8"/>
    <cellStyle name="Normal" xfId="0" builtinId="0"/>
    <cellStyle name="Normal 2" xfId="3" xr:uid="{CE2BFB0B-5B92-8A4A-9883-A8491067966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418091/000141809120000037/twtr-20191231.htm" TargetMode="External"/><Relationship Id="rId7" Type="http://schemas.openxmlformats.org/officeDocument/2006/relationships/hyperlink" Target="https://www.sec.gov/Archives/edgar/data/1418091/000156459018003046/twtr-10k_20171231.htm" TargetMode="External"/><Relationship Id="rId2" Type="http://schemas.openxmlformats.org/officeDocument/2006/relationships/hyperlink" Target="https://www.sec.gov/ix?doc=/Archives/edgar/data/0001418091/000141809121000031/twtr-20201231.htm" TargetMode="External"/><Relationship Id="rId1" Type="http://schemas.openxmlformats.org/officeDocument/2006/relationships/hyperlink" Target="https://www.sec.gov/ix?doc=/Archives/edgar/data/0001418091/000141809122000029/twtr-20211231.htm" TargetMode="External"/><Relationship Id="rId6" Type="http://schemas.openxmlformats.org/officeDocument/2006/relationships/hyperlink" Target="https://www.sec.gov/ix?doc=/Archives/edgar/data/0001418091/000141809122000075/twtr-20220331.htm" TargetMode="External"/><Relationship Id="rId5" Type="http://schemas.openxmlformats.org/officeDocument/2006/relationships/hyperlink" Target="https://www.sec.gov/ix?doc=/Archives/edgar/data/0001418091/000141809122000147/twtr-20220630.htm" TargetMode="External"/><Relationship Id="rId4" Type="http://schemas.openxmlformats.org/officeDocument/2006/relationships/hyperlink" Target="https://www.sec.gov/Archives/edgar/data/1418091/000156459019003523/twtr-10k_201812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FCE9-412B-734A-9B8F-3212F938C4BB}">
  <dimension ref="A1:AI508"/>
  <sheetViews>
    <sheetView showGridLines="0" tabSelected="1" topLeftCell="A22" zoomScaleNormal="80" workbookViewId="0">
      <selection activeCell="Q506" sqref="Q506"/>
    </sheetView>
  </sheetViews>
  <sheetFormatPr baseColWidth="10" defaultRowHeight="16" outlineLevelRow="1" x14ac:dyDescent="0.2"/>
  <cols>
    <col min="1" max="1" width="29" bestFit="1" customWidth="1"/>
    <col min="2" max="2" width="49.1640625" bestFit="1" customWidth="1"/>
    <col min="3" max="7" width="11" bestFit="1" customWidth="1"/>
    <col min="8" max="8" width="9.83203125" customWidth="1"/>
    <col min="9" max="9" width="13.33203125" customWidth="1"/>
    <col min="12" max="12" width="10.83203125" customWidth="1"/>
  </cols>
  <sheetData>
    <row r="1" spans="1:11" ht="20" x14ac:dyDescent="0.25">
      <c r="A1" s="2" t="s">
        <v>0</v>
      </c>
    </row>
    <row r="2" spans="1:11" x14ac:dyDescent="0.2">
      <c r="A2" s="3" t="s">
        <v>1</v>
      </c>
    </row>
    <row r="4" spans="1:11" s="4" customFormat="1" x14ac:dyDescent="0.2">
      <c r="A4" s="5" t="s">
        <v>2</v>
      </c>
    </row>
    <row r="5" spans="1:11" s="1" customFormat="1" x14ac:dyDescent="0.2"/>
    <row r="6" spans="1:11" s="1" customFormat="1" x14ac:dyDescent="0.2"/>
    <row r="7" spans="1:11" s="1" customFormat="1" x14ac:dyDescent="0.2"/>
    <row r="8" spans="1:11" s="1" customFormat="1" x14ac:dyDescent="0.2"/>
    <row r="9" spans="1:11" s="1" customFormat="1" x14ac:dyDescent="0.2">
      <c r="B9" s="171" t="s">
        <v>90</v>
      </c>
    </row>
    <row r="10" spans="1:11" s="1" customFormat="1" x14ac:dyDescent="0.2">
      <c r="B10" s="3"/>
      <c r="C10" s="213"/>
      <c r="D10" s="3"/>
      <c r="E10" s="3"/>
      <c r="F10" s="3"/>
      <c r="G10" s="3"/>
      <c r="H10" s="3"/>
      <c r="I10" s="3"/>
      <c r="J10" s="3"/>
      <c r="K10" s="3"/>
    </row>
    <row r="11" spans="1:11" s="1" customFormat="1" x14ac:dyDescent="0.2">
      <c r="B11" s="210" t="s">
        <v>208</v>
      </c>
      <c r="C11" s="219" t="s">
        <v>209</v>
      </c>
      <c r="D11" s="210"/>
      <c r="E11" s="210"/>
      <c r="F11" s="210"/>
      <c r="G11" s="210"/>
      <c r="H11" s="210"/>
      <c r="I11" s="210"/>
      <c r="J11" s="210"/>
      <c r="K11" s="210"/>
    </row>
    <row r="12" spans="1:11" s="1" customFormat="1" x14ac:dyDescent="0.2">
      <c r="B12" s="210" t="s">
        <v>207</v>
      </c>
      <c r="C12" s="219" t="s">
        <v>210</v>
      </c>
      <c r="D12" s="210"/>
      <c r="E12" s="210"/>
      <c r="F12" s="210"/>
      <c r="G12" s="210"/>
      <c r="H12" s="210"/>
      <c r="I12" s="210"/>
      <c r="J12" s="210"/>
      <c r="K12" s="210"/>
    </row>
    <row r="13" spans="1:11" s="1" customFormat="1" x14ac:dyDescent="0.2">
      <c r="B13" s="210" t="s">
        <v>212</v>
      </c>
      <c r="C13" s="219" t="s">
        <v>214</v>
      </c>
      <c r="D13" s="210"/>
      <c r="E13" s="210"/>
      <c r="F13" s="210"/>
      <c r="G13" s="210"/>
      <c r="H13" s="210"/>
      <c r="I13" s="210"/>
      <c r="J13" s="210"/>
      <c r="K13" s="210"/>
    </row>
    <row r="14" spans="1:11" s="1" customFormat="1" x14ac:dyDescent="0.2">
      <c r="B14" s="210" t="s">
        <v>211</v>
      </c>
      <c r="C14" s="219" t="s">
        <v>213</v>
      </c>
      <c r="D14" s="210"/>
      <c r="E14" s="210"/>
      <c r="F14" s="210"/>
      <c r="G14" s="210"/>
      <c r="H14" s="210"/>
      <c r="I14" s="210"/>
      <c r="J14" s="210"/>
      <c r="K14" s="210"/>
    </row>
    <row r="15" spans="1:11" s="1" customFormat="1" x14ac:dyDescent="0.2">
      <c r="B15" s="210" t="s">
        <v>24</v>
      </c>
      <c r="C15" s="219" t="s">
        <v>202</v>
      </c>
      <c r="D15" s="210"/>
      <c r="E15" s="210"/>
      <c r="F15" s="210"/>
      <c r="G15" s="210"/>
      <c r="H15" s="210"/>
      <c r="I15" s="210"/>
      <c r="J15" s="210"/>
      <c r="K15" s="210"/>
    </row>
    <row r="16" spans="1:11" s="1" customFormat="1" x14ac:dyDescent="0.2">
      <c r="B16" s="210" t="s">
        <v>22</v>
      </c>
      <c r="C16" s="219" t="s">
        <v>203</v>
      </c>
      <c r="D16" s="210"/>
      <c r="E16" s="210"/>
      <c r="F16" s="210"/>
      <c r="G16" s="210"/>
      <c r="H16" s="210"/>
      <c r="I16" s="210"/>
      <c r="J16" s="210"/>
      <c r="K16" s="210"/>
    </row>
    <row r="17" spans="1:18" s="1" customFormat="1" x14ac:dyDescent="0.2">
      <c r="B17" s="210" t="s">
        <v>23</v>
      </c>
      <c r="C17" s="219" t="s">
        <v>204</v>
      </c>
      <c r="D17" s="210"/>
      <c r="E17" s="210"/>
      <c r="F17" s="210"/>
      <c r="G17" s="210"/>
      <c r="H17" s="210"/>
      <c r="I17" s="210"/>
      <c r="J17" s="210"/>
      <c r="K17" s="210"/>
    </row>
    <row r="18" spans="1:18" s="1" customFormat="1" x14ac:dyDescent="0.2">
      <c r="B18" s="210" t="s">
        <v>20</v>
      </c>
      <c r="C18" s="219" t="s">
        <v>21</v>
      </c>
      <c r="D18" s="210"/>
      <c r="E18" s="210"/>
      <c r="F18" s="210"/>
      <c r="G18" s="210"/>
      <c r="H18" s="210"/>
      <c r="I18" s="210"/>
      <c r="J18" s="210"/>
      <c r="K18" s="210"/>
    </row>
    <row r="19" spans="1:18" s="1" customFormat="1" x14ac:dyDescent="0.2">
      <c r="B19" s="210" t="s">
        <v>205</v>
      </c>
      <c r="C19" s="219" t="s">
        <v>206</v>
      </c>
      <c r="D19" s="210"/>
      <c r="E19" s="210"/>
      <c r="F19" s="210"/>
      <c r="G19" s="210"/>
      <c r="H19" s="210"/>
      <c r="I19" s="210"/>
      <c r="J19" s="210"/>
      <c r="K19" s="210"/>
    </row>
    <row r="20" spans="1:18" s="1" customFormat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8" s="1" customFormat="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8" s="4" customFormat="1" x14ac:dyDescent="0.2">
      <c r="A22" s="6" t="s">
        <v>230</v>
      </c>
    </row>
    <row r="23" spans="1:18" s="1" customForma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8" s="1" customForma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8" s="1" customFormat="1" x14ac:dyDescent="0.2">
      <c r="A25" s="3"/>
      <c r="B25" s="304" t="s">
        <v>85</v>
      </c>
      <c r="C25" s="81"/>
      <c r="D25" s="3"/>
      <c r="E25" s="3"/>
      <c r="F25" s="3"/>
      <c r="G25" s="3"/>
      <c r="H25" s="3"/>
      <c r="I25" s="304" t="s">
        <v>274</v>
      </c>
      <c r="J25" s="80"/>
      <c r="K25" s="80"/>
      <c r="L25" s="12"/>
      <c r="M25" s="80"/>
      <c r="N25" s="12"/>
      <c r="O25" s="80"/>
      <c r="P25" s="13"/>
      <c r="Q25" s="325"/>
      <c r="R25" s="332"/>
    </row>
    <row r="26" spans="1:18" s="1" customFormat="1" x14ac:dyDescent="0.2">
      <c r="B26" s="23"/>
      <c r="C26" s="65"/>
      <c r="D26" s="3"/>
      <c r="E26" s="3"/>
      <c r="F26" s="3"/>
      <c r="G26" s="3"/>
      <c r="H26" s="3"/>
      <c r="I26" s="227"/>
      <c r="J26" s="309"/>
      <c r="K26" s="310" t="s">
        <v>275</v>
      </c>
      <c r="L26" s="310"/>
      <c r="M26" s="310"/>
      <c r="N26" s="310">
        <v>1</v>
      </c>
      <c r="O26" s="310">
        <v>2</v>
      </c>
      <c r="P26" s="311">
        <v>3</v>
      </c>
      <c r="Q26" s="22"/>
      <c r="R26" s="22"/>
    </row>
    <row r="27" spans="1:18" s="1" customFormat="1" x14ac:dyDescent="0.2">
      <c r="B27" s="23" t="s">
        <v>86</v>
      </c>
      <c r="C27" s="50">
        <v>44000</v>
      </c>
      <c r="D27" s="3"/>
      <c r="E27" s="3"/>
      <c r="F27" s="3"/>
      <c r="G27" s="3"/>
      <c r="H27" s="3"/>
      <c r="I27" s="58" t="s">
        <v>259</v>
      </c>
      <c r="J27" s="10"/>
      <c r="K27" s="207">
        <v>2</v>
      </c>
      <c r="L27" s="207" t="str">
        <f ca="1">OFFSET(M27,0,K27)</f>
        <v>Base</v>
      </c>
      <c r="M27" s="207"/>
      <c r="N27" s="207" t="s">
        <v>281</v>
      </c>
      <c r="O27" s="207" t="s">
        <v>282</v>
      </c>
      <c r="P27" s="223" t="s">
        <v>283</v>
      </c>
      <c r="Q27" s="331"/>
      <c r="R27" s="331"/>
    </row>
    <row r="28" spans="1:18" s="1" customFormat="1" x14ac:dyDescent="0.2">
      <c r="B28" s="23" t="s">
        <v>87</v>
      </c>
      <c r="C28" s="301">
        <v>0.02</v>
      </c>
      <c r="D28" s="3"/>
      <c r="E28" s="3"/>
      <c r="F28" s="3"/>
      <c r="G28" s="3"/>
      <c r="H28" s="3"/>
      <c r="I28" s="3"/>
      <c r="J28" s="3"/>
      <c r="K28" s="3"/>
    </row>
    <row r="29" spans="1:18" s="1" customFormat="1" x14ac:dyDescent="0.2">
      <c r="B29" s="23" t="s">
        <v>88</v>
      </c>
      <c r="C29" s="301">
        <v>2.5000000000000001E-2</v>
      </c>
      <c r="D29" s="3"/>
      <c r="E29" s="3"/>
      <c r="F29" s="3"/>
      <c r="G29" s="3"/>
      <c r="H29" s="3"/>
      <c r="I29" s="3"/>
      <c r="J29" s="3"/>
      <c r="K29" s="3"/>
    </row>
    <row r="30" spans="1:18" s="1" customFormat="1" x14ac:dyDescent="0.2">
      <c r="B30" s="23"/>
      <c r="C30" s="301"/>
      <c r="D30" s="3"/>
      <c r="E30" s="3"/>
      <c r="F30" s="3"/>
      <c r="G30" s="3"/>
      <c r="H30" s="3"/>
      <c r="I30" s="319"/>
      <c r="J30" s="325"/>
      <c r="K30" s="325"/>
    </row>
    <row r="31" spans="1:18" s="1" customFormat="1" x14ac:dyDescent="0.2">
      <c r="B31" s="23" t="s">
        <v>89</v>
      </c>
      <c r="C31" s="302">
        <v>210.99</v>
      </c>
      <c r="D31" s="3"/>
      <c r="E31" s="3"/>
      <c r="F31" s="3"/>
      <c r="G31" s="3"/>
      <c r="H31" s="3"/>
      <c r="I31" s="22"/>
      <c r="J31" s="324"/>
      <c r="K31" s="105"/>
    </row>
    <row r="32" spans="1:18" s="1" customFormat="1" x14ac:dyDescent="0.2">
      <c r="B32" s="23" t="s">
        <v>198</v>
      </c>
      <c r="C32" s="302">
        <f>C27/C31</f>
        <v>208.54068913218634</v>
      </c>
      <c r="D32" s="3"/>
      <c r="E32" s="3"/>
      <c r="F32" s="3"/>
      <c r="G32" s="3"/>
      <c r="H32" s="3"/>
      <c r="I32" s="22"/>
      <c r="J32" s="324"/>
      <c r="K32" s="105"/>
    </row>
    <row r="33" spans="2:11" s="1" customFormat="1" x14ac:dyDescent="0.2">
      <c r="B33" s="58" t="s">
        <v>192</v>
      </c>
      <c r="C33" s="303">
        <v>20</v>
      </c>
      <c r="D33" s="3"/>
      <c r="E33" s="3"/>
      <c r="F33" s="3"/>
      <c r="G33" s="3"/>
      <c r="H33" s="3"/>
      <c r="I33" s="22"/>
      <c r="J33" s="324"/>
      <c r="K33" s="105"/>
    </row>
    <row r="34" spans="2:11" s="1" customFormat="1" x14ac:dyDescent="0.2">
      <c r="B34" s="3"/>
      <c r="C34" s="150"/>
      <c r="D34" s="3"/>
      <c r="E34" s="3"/>
      <c r="F34" s="3"/>
      <c r="G34" s="3"/>
      <c r="H34" s="3"/>
      <c r="I34" s="27"/>
      <c r="J34" s="324"/>
      <c r="K34" s="176"/>
    </row>
    <row r="35" spans="2:11" s="1" customFormat="1" x14ac:dyDescent="0.2">
      <c r="B35" s="304" t="s">
        <v>101</v>
      </c>
      <c r="C35" s="80"/>
      <c r="D35" s="12"/>
      <c r="E35" s="80"/>
      <c r="F35" s="12"/>
      <c r="G35" s="81"/>
      <c r="H35" s="3"/>
      <c r="I35" s="304" t="s">
        <v>278</v>
      </c>
      <c r="J35" s="80"/>
      <c r="K35" s="81"/>
    </row>
    <row r="36" spans="2:11" s="1" customFormat="1" x14ac:dyDescent="0.2">
      <c r="B36" s="305"/>
      <c r="C36" s="87">
        <v>2023</v>
      </c>
      <c r="D36" s="87">
        <v>2024</v>
      </c>
      <c r="E36" s="87">
        <v>2025</v>
      </c>
      <c r="F36" s="87">
        <v>2026</v>
      </c>
      <c r="G36" s="306">
        <v>2027</v>
      </c>
      <c r="H36" s="23"/>
      <c r="I36" s="322" t="s">
        <v>279</v>
      </c>
      <c r="J36" s="320">
        <v>1</v>
      </c>
      <c r="K36" s="323">
        <v>0.106</v>
      </c>
    </row>
    <row r="37" spans="2:11" s="1" customFormat="1" x14ac:dyDescent="0.2">
      <c r="B37" s="23" t="s">
        <v>102</v>
      </c>
      <c r="C37" s="105">
        <v>4.8599999999999997E-2</v>
      </c>
      <c r="D37" s="105">
        <v>3.3099999999999997E-2</v>
      </c>
      <c r="E37" s="105">
        <v>2.76E-2</v>
      </c>
      <c r="F37" s="105">
        <v>2.7199999999999998E-2</v>
      </c>
      <c r="G37" s="301">
        <v>2.8199999999999999E-2</v>
      </c>
      <c r="H37" s="23"/>
      <c r="I37" s="322" t="s">
        <v>280</v>
      </c>
      <c r="J37" s="321">
        <v>2</v>
      </c>
      <c r="K37" s="301">
        <v>0.15</v>
      </c>
    </row>
    <row r="38" spans="2:11" s="1" customFormat="1" x14ac:dyDescent="0.2">
      <c r="B38" s="23"/>
      <c r="C38" s="150"/>
      <c r="D38" s="3"/>
      <c r="E38" s="3"/>
      <c r="F38" s="3"/>
      <c r="G38" s="65"/>
      <c r="H38" s="23"/>
      <c r="I38" s="327"/>
      <c r="J38" s="328">
        <v>3</v>
      </c>
      <c r="K38" s="308">
        <v>0.188</v>
      </c>
    </row>
    <row r="39" spans="2:11" s="1" customFormat="1" x14ac:dyDescent="0.2">
      <c r="B39" s="88" t="s">
        <v>106</v>
      </c>
      <c r="C39" s="150"/>
      <c r="D39" s="3"/>
      <c r="E39" s="3"/>
      <c r="F39" s="3"/>
      <c r="G39" s="65"/>
      <c r="H39" s="23"/>
      <c r="I39" s="18"/>
      <c r="J39" s="330"/>
      <c r="K39" s="329"/>
    </row>
    <row r="40" spans="2:11" s="1" customFormat="1" x14ac:dyDescent="0.2">
      <c r="B40" s="23" t="s">
        <v>107</v>
      </c>
      <c r="C40" s="73">
        <v>0</v>
      </c>
      <c r="D40" s="3"/>
      <c r="E40" s="3"/>
      <c r="F40" s="3"/>
      <c r="G40" s="65"/>
      <c r="H40" s="23"/>
      <c r="I40" s="22"/>
      <c r="J40" s="324"/>
      <c r="K40" s="105"/>
    </row>
    <row r="41" spans="2:11" s="1" customFormat="1" x14ac:dyDescent="0.2">
      <c r="B41" s="23" t="s">
        <v>108</v>
      </c>
      <c r="C41" s="73">
        <v>2.4</v>
      </c>
      <c r="D41" s="3"/>
      <c r="E41" s="3"/>
      <c r="F41" s="3"/>
      <c r="G41" s="65"/>
      <c r="H41" s="3"/>
      <c r="I41" s="3"/>
      <c r="J41" s="3"/>
      <c r="K41" s="3"/>
    </row>
    <row r="42" spans="2:11" s="1" customFormat="1" x14ac:dyDescent="0.2">
      <c r="B42" s="23" t="s">
        <v>105</v>
      </c>
      <c r="C42" s="105">
        <v>4.4999999999999998E-2</v>
      </c>
      <c r="D42" s="3"/>
      <c r="E42" s="3"/>
      <c r="F42" s="3"/>
      <c r="G42" s="65"/>
      <c r="H42" s="3"/>
      <c r="I42" s="3"/>
      <c r="J42" s="3"/>
      <c r="K42" s="3"/>
    </row>
    <row r="43" spans="2:11" s="1" customFormat="1" x14ac:dyDescent="0.2">
      <c r="B43" s="23"/>
      <c r="C43" s="105"/>
      <c r="D43" s="3"/>
      <c r="E43" s="3"/>
      <c r="F43" s="3"/>
      <c r="G43" s="65"/>
      <c r="H43" s="3"/>
      <c r="I43" s="3"/>
      <c r="J43" s="3"/>
      <c r="K43" s="3"/>
    </row>
    <row r="44" spans="2:11" s="1" customFormat="1" x14ac:dyDescent="0.2">
      <c r="B44" s="23"/>
      <c r="C44" s="87">
        <v>2023</v>
      </c>
      <c r="D44" s="87">
        <v>2024</v>
      </c>
      <c r="E44" s="87">
        <v>2025</v>
      </c>
      <c r="F44" s="87">
        <v>2026</v>
      </c>
      <c r="G44" s="306">
        <v>2027</v>
      </c>
      <c r="H44" s="3"/>
      <c r="I44" s="3"/>
      <c r="J44" s="3"/>
      <c r="K44" s="3"/>
    </row>
    <row r="45" spans="2:11" s="1" customFormat="1" x14ac:dyDescent="0.2">
      <c r="B45" s="23" t="s">
        <v>80</v>
      </c>
      <c r="C45" s="105">
        <f>$C$42+C$37</f>
        <v>9.3599999999999989E-2</v>
      </c>
      <c r="D45" s="105">
        <f t="shared" ref="D45:G45" si="0">$C$42+D$37</f>
        <v>7.8100000000000003E-2</v>
      </c>
      <c r="E45" s="105">
        <f t="shared" si="0"/>
        <v>7.2599999999999998E-2</v>
      </c>
      <c r="F45" s="105">
        <f t="shared" si="0"/>
        <v>7.22E-2</v>
      </c>
      <c r="G45" s="301">
        <f t="shared" si="0"/>
        <v>7.3200000000000001E-2</v>
      </c>
      <c r="H45" s="3"/>
      <c r="I45" s="3"/>
      <c r="J45" s="3"/>
      <c r="K45" s="3"/>
    </row>
    <row r="46" spans="2:11" s="1" customFormat="1" x14ac:dyDescent="0.2">
      <c r="B46" s="23"/>
      <c r="C46" s="36"/>
      <c r="D46" s="3"/>
      <c r="E46" s="3"/>
      <c r="F46" s="3"/>
      <c r="G46" s="65"/>
      <c r="H46" s="3"/>
      <c r="I46" s="3"/>
      <c r="J46" s="3"/>
      <c r="K46" s="3"/>
    </row>
    <row r="47" spans="2:11" s="1" customFormat="1" x14ac:dyDescent="0.2">
      <c r="B47" s="88" t="s">
        <v>92</v>
      </c>
      <c r="C47" s="36"/>
      <c r="D47" s="3"/>
      <c r="E47" s="3"/>
      <c r="F47" s="3"/>
      <c r="G47" s="65"/>
      <c r="H47" s="3"/>
      <c r="I47" s="3"/>
      <c r="J47" s="3"/>
      <c r="K47" s="3"/>
    </row>
    <row r="48" spans="2:11" s="1" customFormat="1" x14ac:dyDescent="0.2">
      <c r="B48" s="23" t="s">
        <v>100</v>
      </c>
      <c r="C48" s="36">
        <f>D75</f>
        <v>0.13213396351069778</v>
      </c>
      <c r="D48" s="3"/>
      <c r="E48" s="3"/>
      <c r="F48" s="3"/>
      <c r="G48" s="65"/>
      <c r="H48" s="3"/>
      <c r="I48" s="3"/>
      <c r="J48" s="3"/>
      <c r="K48" s="3"/>
    </row>
    <row r="49" spans="2:11" s="1" customFormat="1" x14ac:dyDescent="0.2">
      <c r="B49" s="23" t="s">
        <v>103</v>
      </c>
      <c r="C49" s="36">
        <v>6500</v>
      </c>
      <c r="D49" s="3"/>
      <c r="E49" s="3"/>
      <c r="F49" s="3"/>
      <c r="G49" s="65"/>
      <c r="H49" s="3"/>
      <c r="I49" s="3"/>
      <c r="J49" s="3"/>
      <c r="K49" s="3"/>
    </row>
    <row r="50" spans="2:11" s="1" customFormat="1" x14ac:dyDescent="0.2">
      <c r="B50" s="23" t="s">
        <v>105</v>
      </c>
      <c r="C50" s="105">
        <v>4.7500000000000001E-2</v>
      </c>
      <c r="G50" s="307"/>
    </row>
    <row r="51" spans="2:11" s="1" customFormat="1" x14ac:dyDescent="0.2">
      <c r="B51" s="23"/>
      <c r="G51" s="307"/>
    </row>
    <row r="52" spans="2:11" s="1" customFormat="1" x14ac:dyDescent="0.2">
      <c r="B52" s="23"/>
      <c r="C52" s="87">
        <v>2023</v>
      </c>
      <c r="D52" s="87">
        <v>2024</v>
      </c>
      <c r="E52" s="87">
        <v>2025</v>
      </c>
      <c r="F52" s="87">
        <v>2026</v>
      </c>
      <c r="G52" s="306">
        <v>2027</v>
      </c>
      <c r="H52" s="3"/>
      <c r="I52" s="3"/>
      <c r="J52" s="3"/>
      <c r="K52" s="3"/>
    </row>
    <row r="53" spans="2:11" s="1" customFormat="1" x14ac:dyDescent="0.2">
      <c r="B53" s="23" t="s">
        <v>80</v>
      </c>
      <c r="C53" s="105">
        <f>$C$50+C$37</f>
        <v>9.6099999999999991E-2</v>
      </c>
      <c r="D53" s="105">
        <f t="shared" ref="D53:G53" si="1">$C$50+D$37</f>
        <v>8.0600000000000005E-2</v>
      </c>
      <c r="E53" s="105">
        <f t="shared" si="1"/>
        <v>7.51E-2</v>
      </c>
      <c r="F53" s="105">
        <f t="shared" si="1"/>
        <v>7.4700000000000003E-2</v>
      </c>
      <c r="G53" s="301">
        <f t="shared" si="1"/>
        <v>7.5700000000000003E-2</v>
      </c>
      <c r="H53" s="3"/>
      <c r="I53" s="3"/>
      <c r="J53" s="3"/>
      <c r="K53" s="3"/>
    </row>
    <row r="54" spans="2:11" s="1" customFormat="1" x14ac:dyDescent="0.2">
      <c r="B54" s="23"/>
      <c r="C54" s="36"/>
      <c r="D54" s="3"/>
      <c r="E54" s="3"/>
      <c r="F54" s="3"/>
      <c r="G54" s="65"/>
      <c r="H54" s="3"/>
      <c r="I54" s="3"/>
      <c r="J54" s="3"/>
      <c r="K54" s="3"/>
    </row>
    <row r="55" spans="2:11" s="1" customFormat="1" x14ac:dyDescent="0.2">
      <c r="B55" s="88" t="s">
        <v>104</v>
      </c>
      <c r="C55" s="36"/>
      <c r="D55" s="3"/>
      <c r="E55" s="3"/>
      <c r="F55" s="3"/>
      <c r="G55" s="65"/>
      <c r="H55" s="3"/>
      <c r="I55" s="3"/>
      <c r="J55" s="3"/>
      <c r="K55" s="3"/>
    </row>
    <row r="56" spans="2:11" s="1" customFormat="1" x14ac:dyDescent="0.2">
      <c r="B56" s="23" t="s">
        <v>100</v>
      </c>
      <c r="C56" s="36">
        <f>D76</f>
        <v>6.0984906235706661E-2</v>
      </c>
      <c r="D56" s="3"/>
      <c r="E56" s="3"/>
      <c r="F56" s="3"/>
      <c r="G56" s="65"/>
      <c r="H56" s="3"/>
      <c r="I56" s="3"/>
      <c r="J56" s="3"/>
      <c r="K56" s="3"/>
    </row>
    <row r="57" spans="2:11" s="1" customFormat="1" x14ac:dyDescent="0.2">
      <c r="B57" s="23" t="s">
        <v>103</v>
      </c>
      <c r="C57" s="36">
        <v>3000</v>
      </c>
      <c r="D57" s="3"/>
      <c r="E57" s="3"/>
      <c r="F57" s="3"/>
      <c r="G57" s="65"/>
      <c r="H57" s="3"/>
      <c r="I57" s="3"/>
      <c r="J57" s="3"/>
      <c r="K57" s="3"/>
    </row>
    <row r="58" spans="2:11" s="1" customFormat="1" x14ac:dyDescent="0.2">
      <c r="B58" s="23" t="s">
        <v>105</v>
      </c>
      <c r="C58" s="105">
        <v>6.7500000000000004E-2</v>
      </c>
      <c r="D58" s="3"/>
      <c r="E58" s="3"/>
      <c r="F58" s="3"/>
      <c r="G58" s="65"/>
      <c r="H58" s="3"/>
      <c r="I58" s="3"/>
      <c r="J58" s="3"/>
      <c r="K58" s="3"/>
    </row>
    <row r="59" spans="2:11" s="1" customFormat="1" x14ac:dyDescent="0.2">
      <c r="B59" s="23"/>
      <c r="C59" s="105"/>
      <c r="D59" s="3"/>
      <c r="E59" s="3"/>
      <c r="F59" s="3"/>
      <c r="G59" s="65"/>
      <c r="H59" s="3"/>
      <c r="I59" s="3"/>
      <c r="J59" s="3"/>
      <c r="K59" s="3"/>
    </row>
    <row r="60" spans="2:11" s="1" customFormat="1" x14ac:dyDescent="0.2">
      <c r="B60" s="23"/>
      <c r="C60" s="87">
        <v>2023</v>
      </c>
      <c r="D60" s="87">
        <v>2024</v>
      </c>
      <c r="E60" s="87">
        <v>2025</v>
      </c>
      <c r="F60" s="87">
        <v>2026</v>
      </c>
      <c r="G60" s="306">
        <v>2027</v>
      </c>
      <c r="H60" s="3"/>
      <c r="I60" s="3"/>
      <c r="J60" s="3"/>
      <c r="K60" s="3"/>
    </row>
    <row r="61" spans="2:11" s="1" customFormat="1" x14ac:dyDescent="0.2">
      <c r="B61" s="23" t="s">
        <v>80</v>
      </c>
      <c r="C61" s="105">
        <f>$C$58+C$37</f>
        <v>0.11610000000000001</v>
      </c>
      <c r="D61" s="105">
        <f t="shared" ref="D61:G61" si="2">$C$58+D$37</f>
        <v>0.10059999999999999</v>
      </c>
      <c r="E61" s="105">
        <f t="shared" si="2"/>
        <v>9.5100000000000004E-2</v>
      </c>
      <c r="F61" s="105">
        <f t="shared" si="2"/>
        <v>9.4700000000000006E-2</v>
      </c>
      <c r="G61" s="301">
        <f t="shared" si="2"/>
        <v>9.5700000000000007E-2</v>
      </c>
      <c r="H61" s="3"/>
      <c r="I61" s="3"/>
      <c r="J61" s="3"/>
      <c r="K61" s="3"/>
    </row>
    <row r="62" spans="2:11" s="1" customFormat="1" x14ac:dyDescent="0.2">
      <c r="B62" s="23"/>
      <c r="C62" s="36"/>
      <c r="D62" s="3"/>
      <c r="E62" s="3"/>
      <c r="F62" s="3"/>
      <c r="G62" s="65"/>
      <c r="H62" s="3"/>
      <c r="I62" s="3"/>
      <c r="J62" s="3"/>
      <c r="K62" s="3"/>
    </row>
    <row r="63" spans="2:11" s="1" customFormat="1" x14ac:dyDescent="0.2">
      <c r="B63" s="88" t="s">
        <v>94</v>
      </c>
      <c r="C63" s="36"/>
      <c r="D63" s="3"/>
      <c r="E63" s="3"/>
      <c r="F63" s="3"/>
      <c r="G63" s="65"/>
      <c r="H63" s="3"/>
      <c r="I63" s="3"/>
      <c r="J63" s="3"/>
      <c r="K63" s="3"/>
    </row>
    <row r="64" spans="2:11" s="1" customFormat="1" x14ac:dyDescent="0.2">
      <c r="B64" s="23" t="s">
        <v>100</v>
      </c>
      <c r="C64" s="36">
        <f>D77</f>
        <v>6.0984906235706661E-2</v>
      </c>
      <c r="D64" s="3"/>
      <c r="E64" s="3"/>
      <c r="F64" s="3"/>
      <c r="G64" s="65"/>
      <c r="H64" s="3"/>
      <c r="I64" s="3"/>
      <c r="J64" s="3"/>
      <c r="K64" s="3"/>
    </row>
    <row r="65" spans="1:11" s="1" customFormat="1" x14ac:dyDescent="0.2">
      <c r="B65" s="23" t="s">
        <v>103</v>
      </c>
      <c r="C65" s="36">
        <v>3000</v>
      </c>
      <c r="D65" s="3"/>
      <c r="E65" s="3"/>
      <c r="F65" s="3"/>
      <c r="G65" s="65"/>
      <c r="H65" s="3"/>
      <c r="I65" s="3"/>
      <c r="J65" s="3"/>
      <c r="K65" s="3"/>
    </row>
    <row r="66" spans="1:11" s="1" customFormat="1" x14ac:dyDescent="0.2">
      <c r="B66" s="23" t="s">
        <v>105</v>
      </c>
      <c r="C66" s="105">
        <v>0.1</v>
      </c>
      <c r="D66" s="3"/>
      <c r="E66" s="3"/>
      <c r="F66" s="3"/>
      <c r="G66" s="65"/>
      <c r="H66" s="3"/>
      <c r="I66" s="3"/>
      <c r="J66" s="3"/>
      <c r="K66" s="3"/>
    </row>
    <row r="67" spans="1:11" s="1" customFormat="1" x14ac:dyDescent="0.2">
      <c r="B67" s="23"/>
      <c r="C67" s="36"/>
      <c r="D67" s="3"/>
      <c r="E67" s="3"/>
      <c r="F67" s="3"/>
      <c r="G67" s="65"/>
      <c r="H67" s="3"/>
      <c r="I67" s="3"/>
      <c r="J67" s="3"/>
      <c r="K67" s="3"/>
    </row>
    <row r="68" spans="1:11" s="1" customFormat="1" x14ac:dyDescent="0.2">
      <c r="B68" s="23"/>
      <c r="C68" s="87">
        <v>2023</v>
      </c>
      <c r="D68" s="87">
        <v>2024</v>
      </c>
      <c r="E68" s="87">
        <v>2025</v>
      </c>
      <c r="F68" s="87">
        <v>2026</v>
      </c>
      <c r="G68" s="306">
        <v>2027</v>
      </c>
      <c r="H68" s="3"/>
      <c r="I68" s="3"/>
      <c r="J68" s="3"/>
      <c r="K68" s="3"/>
    </row>
    <row r="69" spans="1:11" s="1" customFormat="1" x14ac:dyDescent="0.2">
      <c r="B69" s="58" t="s">
        <v>80</v>
      </c>
      <c r="C69" s="176">
        <f>$C$66+C$37</f>
        <v>0.14860000000000001</v>
      </c>
      <c r="D69" s="176">
        <f t="shared" ref="D69:G69" si="3">$C$66+D$37</f>
        <v>0.1331</v>
      </c>
      <c r="E69" s="176">
        <f t="shared" si="3"/>
        <v>0.12759999999999999</v>
      </c>
      <c r="F69" s="176">
        <f>$C$66+F$37</f>
        <v>0.12720000000000001</v>
      </c>
      <c r="G69" s="308">
        <f t="shared" si="3"/>
        <v>0.12820000000000001</v>
      </c>
      <c r="H69" s="3"/>
      <c r="I69" s="3"/>
      <c r="J69" s="3"/>
      <c r="K69" s="3"/>
    </row>
    <row r="70" spans="1:11" s="1" customFormat="1" x14ac:dyDescent="0.2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s="4" customFormat="1" x14ac:dyDescent="0.2">
      <c r="A71" s="6" t="s">
        <v>229</v>
      </c>
    </row>
    <row r="72" spans="1:11" s="1" customFormat="1" x14ac:dyDescent="0.2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s="1" customFormat="1" x14ac:dyDescent="0.2">
      <c r="B73" s="89" t="s">
        <v>90</v>
      </c>
      <c r="C73" s="3"/>
      <c r="D73" s="38" t="s">
        <v>110</v>
      </c>
      <c r="E73" s="3"/>
      <c r="F73" s="3"/>
      <c r="G73" s="3"/>
      <c r="H73" s="3"/>
      <c r="I73" s="3"/>
      <c r="J73" s="3"/>
      <c r="K73" s="3"/>
    </row>
    <row r="74" spans="1:11" s="1" customFormat="1" x14ac:dyDescent="0.2">
      <c r="B74" s="3" t="s">
        <v>91</v>
      </c>
      <c r="C74" s="36">
        <f>C40</f>
        <v>0</v>
      </c>
      <c r="D74" s="71">
        <f t="shared" ref="D74:D79" si="4">C74/$C$80</f>
        <v>0</v>
      </c>
      <c r="E74" s="3"/>
      <c r="F74" s="3"/>
      <c r="G74" s="3"/>
      <c r="H74" s="3"/>
      <c r="I74" s="3"/>
      <c r="J74" s="3"/>
      <c r="K74" s="3"/>
    </row>
    <row r="75" spans="1:11" s="1" customFormat="1" x14ac:dyDescent="0.2">
      <c r="B75" s="3" t="s">
        <v>92</v>
      </c>
      <c r="C75" s="36">
        <f>C49</f>
        <v>6500</v>
      </c>
      <c r="D75" s="71">
        <f t="shared" si="4"/>
        <v>0.13213396351069778</v>
      </c>
      <c r="E75" s="3"/>
      <c r="F75" s="3"/>
      <c r="G75" s="3"/>
      <c r="H75" s="3"/>
      <c r="I75" s="3"/>
      <c r="J75" s="3"/>
      <c r="K75" s="3"/>
    </row>
    <row r="76" spans="1:11" s="1" customFormat="1" x14ac:dyDescent="0.2">
      <c r="B76" s="3" t="s">
        <v>93</v>
      </c>
      <c r="C76" s="36">
        <f>C57</f>
        <v>3000</v>
      </c>
      <c r="D76" s="71">
        <f t="shared" si="4"/>
        <v>6.0984906235706661E-2</v>
      </c>
      <c r="E76" s="3"/>
      <c r="F76" s="3"/>
      <c r="G76" s="3"/>
      <c r="H76" s="3"/>
      <c r="I76" s="3"/>
      <c r="J76" s="3"/>
      <c r="K76" s="3"/>
    </row>
    <row r="77" spans="1:11" s="1" customFormat="1" x14ac:dyDescent="0.2">
      <c r="B77" s="3" t="s">
        <v>94</v>
      </c>
      <c r="C77" s="36">
        <f>C65</f>
        <v>3000</v>
      </c>
      <c r="D77" s="71">
        <f t="shared" si="4"/>
        <v>6.0984906235706661E-2</v>
      </c>
      <c r="E77" s="3"/>
      <c r="F77" s="3"/>
      <c r="G77" s="3"/>
      <c r="H77" s="3"/>
      <c r="I77" s="3"/>
      <c r="J77" s="3"/>
      <c r="K77" s="3"/>
    </row>
    <row r="78" spans="1:11" s="1" customFormat="1" x14ac:dyDescent="0.2">
      <c r="B78" s="3" t="s">
        <v>109</v>
      </c>
      <c r="C78" s="36">
        <f>C87-SUM(C74:C77)-C79</f>
        <v>30571.8</v>
      </c>
      <c r="D78" s="71">
        <f t="shared" si="4"/>
        <v>0.62147278548559226</v>
      </c>
      <c r="E78" s="3"/>
      <c r="F78" s="3"/>
      <c r="G78" s="3"/>
      <c r="H78" s="3"/>
      <c r="I78" s="3"/>
      <c r="J78" s="3"/>
      <c r="K78" s="3"/>
    </row>
    <row r="79" spans="1:11" s="1" customFormat="1" x14ac:dyDescent="0.2">
      <c r="B79" s="10" t="s">
        <v>169</v>
      </c>
      <c r="C79" s="76">
        <f>L203</f>
        <v>6120.7</v>
      </c>
      <c r="D79" s="152">
        <f t="shared" si="4"/>
        <v>0.12442343853229659</v>
      </c>
      <c r="E79" s="3"/>
      <c r="F79" s="3"/>
      <c r="G79" s="3"/>
      <c r="H79" s="3"/>
      <c r="I79" s="3"/>
      <c r="J79" s="3"/>
      <c r="K79" s="3"/>
    </row>
    <row r="80" spans="1:11" s="1" customFormat="1" x14ac:dyDescent="0.2">
      <c r="B80" s="89" t="s">
        <v>99</v>
      </c>
      <c r="C80" s="131">
        <f>SUM(C75:C79)</f>
        <v>49192.5</v>
      </c>
      <c r="D80" s="153">
        <f>SUM(D74:D79)</f>
        <v>1</v>
      </c>
      <c r="E80" s="3"/>
      <c r="F80" s="3"/>
      <c r="G80" s="3"/>
      <c r="H80" s="3"/>
      <c r="I80" s="3"/>
      <c r="J80" s="3"/>
      <c r="K80" s="3"/>
    </row>
    <row r="81" spans="1:26" s="1" customFormat="1" x14ac:dyDescent="0.2">
      <c r="B81" s="89"/>
      <c r="C81" s="3"/>
      <c r="D81" s="3"/>
      <c r="E81" s="3"/>
      <c r="F81" s="3"/>
      <c r="G81" s="3"/>
      <c r="H81" s="3"/>
      <c r="I81" s="3"/>
      <c r="J81" s="3"/>
      <c r="K81" s="3"/>
    </row>
    <row r="82" spans="1:26" s="1" customFormat="1" x14ac:dyDescent="0.2">
      <c r="B82" s="89" t="s">
        <v>95</v>
      </c>
      <c r="C82" s="3"/>
      <c r="D82" s="3"/>
      <c r="E82" s="3"/>
      <c r="F82" s="3"/>
      <c r="G82" s="3"/>
      <c r="H82" s="3"/>
      <c r="I82" s="3"/>
      <c r="J82" s="3"/>
      <c r="K82" s="3"/>
    </row>
    <row r="83" spans="1:26" s="1" customFormat="1" x14ac:dyDescent="0.2">
      <c r="B83" s="3" t="s">
        <v>96</v>
      </c>
      <c r="C83" s="36">
        <f>C27</f>
        <v>44000</v>
      </c>
      <c r="D83" s="3"/>
      <c r="E83" s="3"/>
      <c r="F83" s="3"/>
      <c r="G83" s="3"/>
      <c r="H83" s="3"/>
      <c r="I83" s="3"/>
      <c r="J83" s="3"/>
      <c r="K83" s="3"/>
    </row>
    <row r="84" spans="1:26" s="1" customFormat="1" x14ac:dyDescent="0.2">
      <c r="B84" s="3" t="s">
        <v>97</v>
      </c>
      <c r="C84" s="36">
        <f>C27*C28</f>
        <v>880</v>
      </c>
      <c r="D84" s="3"/>
      <c r="E84" s="3"/>
      <c r="F84" s="3"/>
      <c r="G84" s="3"/>
      <c r="H84" s="3"/>
      <c r="I84" s="3"/>
      <c r="J84" s="3"/>
      <c r="K84" s="3"/>
    </row>
    <row r="85" spans="1:26" s="1" customFormat="1" x14ac:dyDescent="0.2">
      <c r="B85" s="3" t="s">
        <v>88</v>
      </c>
      <c r="C85" s="36">
        <f>C29*SUM(C75:C77)</f>
        <v>312.5</v>
      </c>
      <c r="D85" s="3"/>
      <c r="E85" s="3"/>
      <c r="F85" s="3"/>
      <c r="G85" s="3"/>
      <c r="H85" s="3"/>
      <c r="I85" s="3"/>
      <c r="J85" s="3"/>
      <c r="K85" s="3"/>
    </row>
    <row r="86" spans="1:26" s="1" customFormat="1" x14ac:dyDescent="0.2">
      <c r="B86" s="10" t="s">
        <v>170</v>
      </c>
      <c r="C86" s="76">
        <v>4000</v>
      </c>
      <c r="D86" s="3"/>
      <c r="E86" s="3"/>
      <c r="F86" s="3"/>
      <c r="G86" s="3"/>
      <c r="H86" s="3"/>
      <c r="I86" s="3"/>
      <c r="J86" s="3"/>
      <c r="K86" s="3"/>
    </row>
    <row r="87" spans="1:26" s="1" customFormat="1" x14ac:dyDescent="0.2">
      <c r="B87" s="89" t="s">
        <v>98</v>
      </c>
      <c r="C87" s="131">
        <f>SUM(C83:C86)</f>
        <v>49192.5</v>
      </c>
      <c r="D87" s="3"/>
      <c r="E87" s="3"/>
      <c r="F87" s="3"/>
      <c r="G87" s="3"/>
      <c r="H87" s="3"/>
      <c r="I87" s="3"/>
      <c r="J87" s="3"/>
      <c r="K87" s="3"/>
    </row>
    <row r="88" spans="1:26" s="1" customFormat="1" x14ac:dyDescent="0.2">
      <c r="B88" s="3"/>
      <c r="C88" s="36"/>
      <c r="D88" s="3"/>
      <c r="E88" s="3"/>
      <c r="F88" s="3"/>
      <c r="G88" s="3"/>
      <c r="H88" s="3"/>
      <c r="I88" s="3"/>
      <c r="J88" s="3"/>
      <c r="K88" s="3"/>
    </row>
    <row r="89" spans="1:26" s="1" customFormat="1" x14ac:dyDescent="0.2">
      <c r="B89" s="3"/>
      <c r="C89" s="36"/>
      <c r="D89" s="3"/>
      <c r="E89" s="3"/>
      <c r="F89" s="3"/>
      <c r="G89" s="3"/>
      <c r="H89" s="3"/>
      <c r="I89" s="3"/>
      <c r="J89" s="3"/>
      <c r="K89" s="3"/>
    </row>
    <row r="90" spans="1:26" s="1" customFormat="1" x14ac:dyDescent="0.2">
      <c r="B90" s="3"/>
      <c r="C90" s="36"/>
      <c r="D90" s="3"/>
      <c r="E90" s="3"/>
      <c r="F90" s="3"/>
      <c r="G90" s="3"/>
      <c r="H90" s="3"/>
      <c r="I90" s="3"/>
      <c r="J90" s="3"/>
      <c r="K90" s="3"/>
    </row>
    <row r="91" spans="1:26" s="6" customFormat="1" ht="14" x14ac:dyDescent="0.2">
      <c r="A91" s="6" t="s">
        <v>225</v>
      </c>
    </row>
    <row r="92" spans="1:26" s="3" customFormat="1" ht="14" outlineLevel="1" x14ac:dyDescent="0.2"/>
    <row r="93" spans="1:26" s="3" customFormat="1" ht="14" outlineLevel="1" x14ac:dyDescent="0.2">
      <c r="G93" s="8" t="s">
        <v>5</v>
      </c>
      <c r="H93" s="9"/>
      <c r="I93" s="9"/>
      <c r="J93" s="9"/>
      <c r="K93" s="236"/>
      <c r="O93" s="10"/>
      <c r="P93" s="65"/>
      <c r="Q93" s="12" t="s">
        <v>6</v>
      </c>
      <c r="R93" s="12"/>
      <c r="S93" s="12"/>
      <c r="T93" s="12"/>
      <c r="U93" s="12"/>
      <c r="V93" s="12"/>
      <c r="W93" s="12"/>
      <c r="X93" s="12"/>
      <c r="Y93" s="12"/>
      <c r="Z93" s="13"/>
    </row>
    <row r="94" spans="1:26" s="3" customFormat="1" ht="14" outlineLevel="1" x14ac:dyDescent="0.2"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6" t="s">
        <v>7</v>
      </c>
      <c r="M94" s="17"/>
      <c r="N94" s="18" t="s">
        <v>8</v>
      </c>
      <c r="P94" s="16"/>
      <c r="Q94" s="19" t="str">
        <f>Q140</f>
        <v>Year 1</v>
      </c>
      <c r="R94" s="19" t="str">
        <f t="shared" ref="R94:U94" si="5">R140</f>
        <v>Year 2</v>
      </c>
      <c r="S94" s="19" t="str">
        <f t="shared" si="5"/>
        <v>Year 3</v>
      </c>
      <c r="T94" s="19" t="str">
        <f t="shared" si="5"/>
        <v>Year 4</v>
      </c>
      <c r="U94" s="19" t="str">
        <f t="shared" si="5"/>
        <v>Year 5</v>
      </c>
      <c r="V94" s="19"/>
      <c r="W94" s="19"/>
      <c r="X94" s="19"/>
      <c r="Y94" s="19"/>
      <c r="Z94" s="20"/>
    </row>
    <row r="95" spans="1:26" s="3" customFormat="1" ht="14" outlineLevel="1" x14ac:dyDescent="0.2">
      <c r="B95" s="23"/>
      <c r="G95" s="24">
        <f t="shared" ref="G95:L95" si="6">G141</f>
        <v>2017</v>
      </c>
      <c r="H95" s="24">
        <f t="shared" si="6"/>
        <v>2018</v>
      </c>
      <c r="I95" s="24">
        <f t="shared" si="6"/>
        <v>2019</v>
      </c>
      <c r="J95" s="24">
        <f t="shared" si="6"/>
        <v>2020</v>
      </c>
      <c r="K95" s="24">
        <f t="shared" si="6"/>
        <v>2021</v>
      </c>
      <c r="L95" s="25">
        <f t="shared" si="6"/>
        <v>44742</v>
      </c>
      <c r="M95" s="26"/>
      <c r="N95" s="27" t="str">
        <f>N141</f>
        <v>(2017-2021)</v>
      </c>
      <c r="O95" s="10"/>
      <c r="P95" s="28"/>
      <c r="Q95" s="29">
        <f>Q141</f>
        <v>2023</v>
      </c>
      <c r="R95" s="29">
        <f t="shared" ref="R95:U95" si="7">R141</f>
        <v>2024</v>
      </c>
      <c r="S95" s="29">
        <f t="shared" si="7"/>
        <v>2025</v>
      </c>
      <c r="T95" s="29">
        <f t="shared" si="7"/>
        <v>2026</v>
      </c>
      <c r="U95" s="29">
        <f t="shared" si="7"/>
        <v>2027</v>
      </c>
      <c r="V95" s="29"/>
      <c r="W95" s="29"/>
      <c r="X95" s="29"/>
      <c r="Y95" s="29"/>
      <c r="Z95" s="30"/>
    </row>
    <row r="96" spans="1:26" s="89" customFormat="1" ht="14" outlineLevel="1" x14ac:dyDescent="0.2">
      <c r="B96" s="88" t="s">
        <v>9</v>
      </c>
      <c r="G96" s="36">
        <f>G142</f>
        <v>2443.29</v>
      </c>
      <c r="H96" s="36">
        <f t="shared" ref="H96:L96" si="8">H142</f>
        <v>3042.36</v>
      </c>
      <c r="I96" s="36">
        <f t="shared" si="8"/>
        <v>3459.33</v>
      </c>
      <c r="J96" s="36">
        <f t="shared" si="8"/>
        <v>3716.35</v>
      </c>
      <c r="K96" s="199">
        <f t="shared" si="8"/>
        <v>5077.4799999999996</v>
      </c>
      <c r="L96" s="63">
        <f t="shared" si="8"/>
        <v>5228.7</v>
      </c>
      <c r="N96" s="33">
        <f>N142</f>
        <v>0.20065518577782515</v>
      </c>
      <c r="P96" s="187"/>
      <c r="Q96" s="36">
        <f ca="1">Q142</f>
        <v>4287.5340000000006</v>
      </c>
      <c r="R96" s="36">
        <f t="shared" ref="R96:U97" ca="1" si="9">R142</f>
        <v>4930.6641</v>
      </c>
      <c r="S96" s="36">
        <f t="shared" ca="1" si="9"/>
        <v>6409.8633300000001</v>
      </c>
      <c r="T96" s="36">
        <f t="shared" ca="1" si="9"/>
        <v>9294.3018284999998</v>
      </c>
      <c r="U96" s="36">
        <f t="shared" ca="1" si="9"/>
        <v>14406.167834174999</v>
      </c>
      <c r="V96" s="131"/>
      <c r="W96" s="131"/>
      <c r="X96" s="131"/>
      <c r="Y96" s="131"/>
      <c r="Z96" s="237"/>
    </row>
    <row r="97" spans="1:26" s="184" customFormat="1" ht="14" outlineLevel="1" x14ac:dyDescent="0.2">
      <c r="B97" s="238" t="s">
        <v>10</v>
      </c>
      <c r="H97" s="39">
        <f>H143</f>
        <v>0.24518988740591596</v>
      </c>
      <c r="I97" s="39">
        <f t="shared" ref="I97:L97" si="10">I143</f>
        <v>0.1370547864158087</v>
      </c>
      <c r="J97" s="39">
        <f t="shared" si="10"/>
        <v>7.4297624106402171E-2</v>
      </c>
      <c r="K97" s="79">
        <f t="shared" si="10"/>
        <v>0.36625452392804769</v>
      </c>
      <c r="L97" s="40">
        <f t="shared" si="10"/>
        <v>2.9782490526796712E-2</v>
      </c>
      <c r="N97" s="239"/>
      <c r="O97" s="239"/>
      <c r="P97" s="154"/>
      <c r="Q97" s="71">
        <f ca="1">Q143</f>
        <v>-0.18</v>
      </c>
      <c r="R97" s="71">
        <f t="shared" ca="1" si="9"/>
        <v>0.15</v>
      </c>
      <c r="S97" s="71">
        <f t="shared" ca="1" si="9"/>
        <v>0.3</v>
      </c>
      <c r="T97" s="71">
        <f t="shared" ca="1" si="9"/>
        <v>0.45</v>
      </c>
      <c r="U97" s="71">
        <f t="shared" ca="1" si="9"/>
        <v>0.55000000000000004</v>
      </c>
      <c r="V97" s="39"/>
      <c r="W97" s="39"/>
      <c r="X97" s="39"/>
      <c r="Y97" s="39"/>
      <c r="Z97" s="64"/>
    </row>
    <row r="98" spans="1:26" s="89" customFormat="1" ht="14" outlineLevel="1" x14ac:dyDescent="0.2">
      <c r="B98" s="88" t="s">
        <v>226</v>
      </c>
      <c r="G98" s="36">
        <f>G146</f>
        <v>1582.048</v>
      </c>
      <c r="H98" s="36">
        <f t="shared" ref="H98:L98" si="11">H146</f>
        <v>2077.36</v>
      </c>
      <c r="I98" s="36">
        <f t="shared" si="11"/>
        <v>2322.29</v>
      </c>
      <c r="J98" s="36">
        <f t="shared" si="11"/>
        <v>2349.96</v>
      </c>
      <c r="K98" s="77">
        <f t="shared" si="11"/>
        <v>3279.9699999999993</v>
      </c>
      <c r="L98" s="32">
        <f t="shared" si="11"/>
        <v>3181</v>
      </c>
      <c r="N98" s="33">
        <f>N146</f>
        <v>0.19994835269497502</v>
      </c>
      <c r="P98" s="187"/>
      <c r="Q98" s="36">
        <f ca="1">Q146</f>
        <v>2915.5231200000003</v>
      </c>
      <c r="R98" s="36">
        <f t="shared" ref="R98:U99" ca="1" si="12">R146</f>
        <v>3303.5449469999999</v>
      </c>
      <c r="S98" s="36">
        <f t="shared" ca="1" si="12"/>
        <v>4166.4111645000003</v>
      </c>
      <c r="T98" s="36">
        <f t="shared" ca="1" si="12"/>
        <v>6320.12524338</v>
      </c>
      <c r="U98" s="36">
        <f t="shared" ca="1" si="12"/>
        <v>10084.317483922499</v>
      </c>
      <c r="V98" s="131"/>
      <c r="W98" s="131"/>
      <c r="X98" s="131"/>
      <c r="Y98" s="131"/>
      <c r="Z98" s="237"/>
    </row>
    <row r="99" spans="1:26" s="184" customFormat="1" ht="14" outlineLevel="1" x14ac:dyDescent="0.2">
      <c r="B99" s="238" t="s">
        <v>12</v>
      </c>
      <c r="G99" s="39">
        <f>G147</f>
        <v>0.64750725456249569</v>
      </c>
      <c r="H99" s="39">
        <f t="shared" ref="H99:L99" si="13">H147</f>
        <v>0.68281202750496328</v>
      </c>
      <c r="I99" s="39">
        <f t="shared" si="13"/>
        <v>0.6713120748815522</v>
      </c>
      <c r="J99" s="39">
        <f t="shared" si="13"/>
        <v>0.63233010884335439</v>
      </c>
      <c r="K99" s="79">
        <f t="shared" si="13"/>
        <v>0.64598383450057895</v>
      </c>
      <c r="L99" s="40">
        <f t="shared" si="13"/>
        <v>0.60837301814982692</v>
      </c>
      <c r="N99" s="239"/>
      <c r="O99" s="239"/>
      <c r="P99" s="40"/>
      <c r="Q99" s="105">
        <f ca="1">Q147</f>
        <v>0.67999999999999994</v>
      </c>
      <c r="R99" s="105">
        <f t="shared" ca="1" si="12"/>
        <v>0.66999999999999993</v>
      </c>
      <c r="S99" s="105">
        <f t="shared" ca="1" si="12"/>
        <v>0.65</v>
      </c>
      <c r="T99" s="105">
        <f t="shared" ca="1" si="12"/>
        <v>0.68</v>
      </c>
      <c r="U99" s="105">
        <f t="shared" ca="1" si="12"/>
        <v>0.7</v>
      </c>
      <c r="V99" s="39"/>
      <c r="W99" s="39"/>
      <c r="X99" s="39"/>
      <c r="Y99" s="39"/>
      <c r="Z99" s="64"/>
    </row>
    <row r="100" spans="1:26" s="89" customFormat="1" ht="14" outlineLevel="1" x14ac:dyDescent="0.2">
      <c r="B100" s="88" t="s">
        <v>16</v>
      </c>
      <c r="G100" s="36">
        <f>G159</f>
        <v>338.14099999999996</v>
      </c>
      <c r="H100" s="36">
        <f t="shared" ref="H100:L100" si="14">H159</f>
        <v>767.0200000000001</v>
      </c>
      <c r="I100" s="36">
        <f t="shared" si="14"/>
        <v>715.87999999999988</v>
      </c>
      <c r="J100" s="36">
        <f t="shared" si="14"/>
        <v>412.46000000000004</v>
      </c>
      <c r="K100" s="77">
        <f t="shared" si="14"/>
        <v>697.25999999999931</v>
      </c>
      <c r="L100" s="32">
        <f t="shared" si="14"/>
        <v>210.99999999999977</v>
      </c>
      <c r="N100" s="33"/>
      <c r="P100" s="187"/>
      <c r="Q100" s="36">
        <f ca="1">Q159</f>
        <v>857.50680000000011</v>
      </c>
      <c r="R100" s="36">
        <f t="shared" ref="R100:U101" ca="1" si="15">R159</f>
        <v>986.13281999999958</v>
      </c>
      <c r="S100" s="36">
        <f t="shared" ca="1" si="15"/>
        <v>1217.8740327000003</v>
      </c>
      <c r="T100" s="36">
        <f t="shared" ca="1" si="15"/>
        <v>2137.6894205549997</v>
      </c>
      <c r="U100" s="36">
        <f t="shared" ca="1" si="15"/>
        <v>3745.6036368854989</v>
      </c>
      <c r="V100" s="131"/>
      <c r="W100" s="131"/>
      <c r="X100" s="131"/>
      <c r="Y100" s="131"/>
      <c r="Z100" s="237"/>
    </row>
    <row r="101" spans="1:26" s="184" customFormat="1" ht="14" outlineLevel="1" x14ac:dyDescent="0.2">
      <c r="B101" s="238" t="s">
        <v>12</v>
      </c>
      <c r="G101" s="39">
        <f>G160</f>
        <v>0.13839576963847924</v>
      </c>
      <c r="H101" s="39">
        <f t="shared" ref="H101:L101" si="16">H160</f>
        <v>0.25211349084263535</v>
      </c>
      <c r="I101" s="39">
        <f t="shared" si="16"/>
        <v>0.20694180665042072</v>
      </c>
      <c r="J101" s="39">
        <f t="shared" si="16"/>
        <v>0.11098524089496416</v>
      </c>
      <c r="K101" s="79">
        <f t="shared" si="16"/>
        <v>0.13732402687947551</v>
      </c>
      <c r="L101" s="40">
        <f t="shared" si="16"/>
        <v>4.0354198940463173E-2</v>
      </c>
      <c r="N101" s="244">
        <f>N159</f>
        <v>0.19832392351285577</v>
      </c>
      <c r="O101" s="239"/>
      <c r="P101" s="40"/>
      <c r="Q101" s="105">
        <f ca="1">Q160</f>
        <v>0.2</v>
      </c>
      <c r="R101" s="105">
        <f t="shared" ca="1" si="15"/>
        <v>0.19999999999999993</v>
      </c>
      <c r="S101" s="105">
        <f t="shared" ca="1" si="15"/>
        <v>0.19000000000000003</v>
      </c>
      <c r="T101" s="105">
        <f t="shared" ca="1" si="15"/>
        <v>0.22999999999999998</v>
      </c>
      <c r="U101" s="105">
        <f t="shared" ca="1" si="15"/>
        <v>0.25999999999999995</v>
      </c>
      <c r="V101" s="39"/>
      <c r="W101" s="39"/>
      <c r="X101" s="39"/>
      <c r="Y101" s="39"/>
      <c r="Z101" s="64"/>
    </row>
    <row r="102" spans="1:26" s="89" customFormat="1" ht="14" outlineLevel="1" x14ac:dyDescent="0.2">
      <c r="B102" s="88" t="s">
        <v>242</v>
      </c>
      <c r="G102" s="36">
        <f>G270</f>
        <v>-160.69999999999999</v>
      </c>
      <c r="H102" s="36">
        <f t="shared" ref="H102:L103" si="17">H270</f>
        <v>-483.9</v>
      </c>
      <c r="I102" s="36">
        <f t="shared" si="17"/>
        <v>-540.70000000000005</v>
      </c>
      <c r="J102" s="36">
        <f t="shared" si="17"/>
        <v>-873.4</v>
      </c>
      <c r="K102" s="77">
        <f t="shared" si="17"/>
        <v>-1011.5</v>
      </c>
      <c r="L102" s="32">
        <f t="shared" si="17"/>
        <v>-868.8</v>
      </c>
      <c r="N102" s="33"/>
      <c r="P102" s="187"/>
      <c r="Q102" s="36">
        <f ca="1">Q270</f>
        <v>-712.41600000000005</v>
      </c>
      <c r="R102" s="36">
        <f t="shared" ref="R102:U103" ca="1" si="18">R270</f>
        <v>-819.27839999999992</v>
      </c>
      <c r="S102" s="36">
        <f t="shared" ca="1" si="18"/>
        <v>-1065.0619199999999</v>
      </c>
      <c r="T102" s="36">
        <f t="shared" ca="1" si="18"/>
        <v>-1544.3397839999998</v>
      </c>
      <c r="U102" s="36">
        <f t="shared" ca="1" si="18"/>
        <v>-2393.7266651999998</v>
      </c>
      <c r="V102" s="131"/>
      <c r="W102" s="131"/>
      <c r="X102" s="131"/>
      <c r="Y102" s="131"/>
      <c r="Z102" s="237"/>
    </row>
    <row r="103" spans="1:26" s="38" customFormat="1" ht="14" outlineLevel="1" x14ac:dyDescent="0.2">
      <c r="B103" s="93" t="s">
        <v>12</v>
      </c>
      <c r="G103" s="71">
        <f>G271</f>
        <v>6.5771971399219906E-2</v>
      </c>
      <c r="H103" s="71">
        <f t="shared" si="17"/>
        <v>0.15905415532678577</v>
      </c>
      <c r="I103" s="71">
        <f t="shared" si="17"/>
        <v>0.15630194286176805</v>
      </c>
      <c r="J103" s="71">
        <f t="shared" si="17"/>
        <v>0.23501553944058015</v>
      </c>
      <c r="K103" s="158">
        <f t="shared" si="17"/>
        <v>0.19921299542292636</v>
      </c>
      <c r="L103" s="67">
        <f t="shared" si="17"/>
        <v>0.16615984852831486</v>
      </c>
      <c r="N103" s="94"/>
      <c r="O103" s="94"/>
      <c r="P103" s="40"/>
      <c r="Q103" s="105">
        <f>Q271</f>
        <v>0.16615984852831486</v>
      </c>
      <c r="R103" s="105">
        <f t="shared" si="18"/>
        <v>0.16615984852831486</v>
      </c>
      <c r="S103" s="105">
        <f t="shared" si="18"/>
        <v>0.16615984852831486</v>
      </c>
      <c r="T103" s="105">
        <f t="shared" si="18"/>
        <v>0.16615984852831486</v>
      </c>
      <c r="U103" s="105">
        <f t="shared" si="18"/>
        <v>0.16615984852831486</v>
      </c>
      <c r="V103" s="39"/>
      <c r="W103" s="39"/>
      <c r="X103" s="39"/>
      <c r="Y103" s="39"/>
      <c r="Z103" s="64"/>
    </row>
    <row r="104" spans="1:26" s="3" customFormat="1" ht="14" outlineLevel="1" x14ac:dyDescent="0.2">
      <c r="B104" s="23"/>
      <c r="K104" s="155"/>
      <c r="L104" s="32"/>
      <c r="P104" s="32"/>
      <c r="Q104" s="36"/>
      <c r="R104" s="36"/>
      <c r="S104" s="36"/>
      <c r="T104" s="36"/>
      <c r="U104" s="36"/>
      <c r="V104" s="36"/>
      <c r="W104" s="36"/>
      <c r="X104" s="36"/>
      <c r="Y104" s="36"/>
      <c r="Z104" s="50"/>
    </row>
    <row r="105" spans="1:26" s="3" customFormat="1" ht="14" outlineLevel="1" x14ac:dyDescent="0.2">
      <c r="B105" s="23" t="s">
        <v>227</v>
      </c>
      <c r="G105" s="150">
        <f t="shared" ref="G105:L105" si="19">G173</f>
        <v>-60.800000000000004</v>
      </c>
      <c r="H105" s="150">
        <f t="shared" si="19"/>
        <v>-21.399999999999991</v>
      </c>
      <c r="I105" s="150">
        <f t="shared" si="19"/>
        <v>19.5</v>
      </c>
      <c r="J105" s="150">
        <f t="shared" si="19"/>
        <v>-64.7</v>
      </c>
      <c r="K105" s="157">
        <f t="shared" si="19"/>
        <v>-15.5</v>
      </c>
      <c r="L105" s="157">
        <f t="shared" si="19"/>
        <v>-25.9</v>
      </c>
      <c r="M105" s="200"/>
      <c r="O105" s="155"/>
      <c r="P105" s="77"/>
      <c r="Q105" s="36">
        <f ca="1">Q173</f>
        <v>-1465.4894677198515</v>
      </c>
      <c r="R105" s="36">
        <f t="shared" ref="R105:U105" ca="1" si="20">R173</f>
        <v>-1341.6552738352448</v>
      </c>
      <c r="S105" s="36">
        <f t="shared" ca="1" si="20"/>
        <v>-1339.9118934398412</v>
      </c>
      <c r="T105" s="36">
        <f t="shared" ca="1" si="20"/>
        <v>-1408.7662928519253</v>
      </c>
      <c r="U105" s="36">
        <f t="shared" ca="1" si="20"/>
        <v>-1488.9106285580469</v>
      </c>
      <c r="V105" s="36"/>
      <c r="W105" s="36"/>
      <c r="X105" s="36"/>
      <c r="Y105" s="36"/>
      <c r="Z105" s="50"/>
    </row>
    <row r="106" spans="1:26" s="3" customFormat="1" ht="14" outlineLevel="1" x14ac:dyDescent="0.2">
      <c r="B106" s="23" t="s">
        <v>228</v>
      </c>
      <c r="G106" s="36">
        <f>G173</f>
        <v>-60.800000000000004</v>
      </c>
      <c r="H106" s="36">
        <f t="shared" ref="H106:L106" si="21">H173</f>
        <v>-21.399999999999991</v>
      </c>
      <c r="I106" s="36">
        <f t="shared" si="21"/>
        <v>19.5</v>
      </c>
      <c r="J106" s="36">
        <f t="shared" si="21"/>
        <v>-64.7</v>
      </c>
      <c r="K106" s="77">
        <f t="shared" si="21"/>
        <v>-15.5</v>
      </c>
      <c r="L106" s="240">
        <f t="shared" si="21"/>
        <v>-25.9</v>
      </c>
      <c r="M106" s="173"/>
      <c r="N106" s="173"/>
      <c r="O106" s="242"/>
      <c r="P106" s="242"/>
      <c r="Q106" s="36">
        <f ca="1">Q173</f>
        <v>-1465.4894677198515</v>
      </c>
      <c r="R106" s="36">
        <f t="shared" ref="R106:U106" ca="1" si="22">R173</f>
        <v>-1341.6552738352448</v>
      </c>
      <c r="S106" s="36">
        <f t="shared" ca="1" si="22"/>
        <v>-1339.9118934398412</v>
      </c>
      <c r="T106" s="36">
        <f t="shared" ca="1" si="22"/>
        <v>-1408.7662928519253</v>
      </c>
      <c r="U106" s="36">
        <f t="shared" ca="1" si="22"/>
        <v>-1488.9106285580469</v>
      </c>
      <c r="Z106" s="65"/>
    </row>
    <row r="107" spans="1:26" s="3" customFormat="1" ht="14" outlineLevel="1" x14ac:dyDescent="0.2">
      <c r="B107" s="58"/>
      <c r="C107" s="10"/>
      <c r="D107" s="10"/>
      <c r="E107" s="10"/>
      <c r="F107" s="10"/>
      <c r="G107" s="76"/>
      <c r="H107" s="76"/>
      <c r="I107" s="76"/>
      <c r="J107" s="76"/>
      <c r="K107" s="76"/>
      <c r="L107" s="10"/>
      <c r="M107" s="10"/>
      <c r="N107" s="10"/>
      <c r="O107" s="10"/>
      <c r="P107" s="10"/>
      <c r="Q107" s="76"/>
      <c r="R107" s="76"/>
      <c r="S107" s="76"/>
      <c r="T107" s="76"/>
      <c r="U107" s="76"/>
      <c r="V107" s="76"/>
      <c r="W107" s="76"/>
      <c r="X107" s="76"/>
      <c r="Y107" s="76"/>
      <c r="Z107" s="83"/>
    </row>
    <row r="108" spans="1:26" s="3" customFormat="1" ht="14" outlineLevel="1" x14ac:dyDescent="0.2">
      <c r="G108" s="36"/>
      <c r="H108" s="36"/>
      <c r="I108" s="36"/>
      <c r="J108" s="36"/>
      <c r="K108" s="36"/>
      <c r="P108" s="36"/>
      <c r="Q108" s="241"/>
      <c r="R108" s="241"/>
      <c r="S108" s="241"/>
      <c r="T108" s="241"/>
      <c r="U108" s="241"/>
      <c r="V108" s="241"/>
      <c r="W108" s="241"/>
      <c r="X108" s="36"/>
      <c r="Y108" s="36"/>
    </row>
    <row r="109" spans="1:26" s="3" customFormat="1" ht="14" x14ac:dyDescent="0.2"/>
    <row r="110" spans="1:26" s="245" customFormat="1" ht="14" x14ac:dyDescent="0.2">
      <c r="A110" s="6" t="s">
        <v>231</v>
      </c>
    </row>
    <row r="111" spans="1:26" s="3" customFormat="1" ht="14" outlineLevel="1" x14ac:dyDescent="0.2"/>
    <row r="112" spans="1:26" s="3" customFormat="1" ht="14" outlineLevel="1" x14ac:dyDescent="0.2">
      <c r="B112" s="3" t="s">
        <v>83</v>
      </c>
      <c r="G112" s="36"/>
      <c r="H112" s="36"/>
      <c r="I112" s="36"/>
      <c r="J112" s="36"/>
      <c r="K112" s="36"/>
      <c r="N112" s="36"/>
      <c r="Q112" s="36">
        <f>Q203</f>
        <v>4000.0000000000009</v>
      </c>
      <c r="R112" s="36">
        <f t="shared" ref="R112:U112" si="23">R203</f>
        <v>4000.0000000000009</v>
      </c>
      <c r="S112" s="36">
        <f t="shared" si="23"/>
        <v>4000.0000000000009</v>
      </c>
      <c r="T112" s="36">
        <f t="shared" si="23"/>
        <v>4000.0000000000009</v>
      </c>
      <c r="U112" s="36">
        <f t="shared" si="23"/>
        <v>4000.0000000000009</v>
      </c>
      <c r="V112" s="36" t="str">
        <f>IF(V$104="","",V493)</f>
        <v/>
      </c>
      <c r="W112" s="36" t="str">
        <f>IF(W$104="","",W493)</f>
        <v/>
      </c>
      <c r="X112" s="36" t="str">
        <f>IF(X$104="","",X493)</f>
        <v/>
      </c>
      <c r="Y112" s="36" t="str">
        <f>IF(Y$104="","",Y493)</f>
        <v/>
      </c>
      <c r="Z112" s="36" t="str">
        <f>IF(Z$104="","",Z493)</f>
        <v/>
      </c>
    </row>
    <row r="113" spans="1:26" s="3" customFormat="1" ht="14" outlineLevel="1" x14ac:dyDescent="0.2"/>
    <row r="114" spans="1:26" s="3" customFormat="1" ht="14" outlineLevel="1" x14ac:dyDescent="0.2">
      <c r="B114" s="3" t="str">
        <f>B299</f>
        <v>1st Lien Revolver</v>
      </c>
      <c r="Q114" s="36">
        <f ca="1">Q234</f>
        <v>998.70657521050634</v>
      </c>
      <c r="R114" s="36">
        <f t="shared" ref="R114:U114" ca="1" si="24">R234</f>
        <v>1988.6243808777122</v>
      </c>
      <c r="S114" s="36">
        <f t="shared" ca="1" si="24"/>
        <v>3070.931912230853</v>
      </c>
      <c r="T114" s="36">
        <f t="shared" ca="1" si="24"/>
        <v>4062.4834022278565</v>
      </c>
      <c r="U114" s="36">
        <f t="shared" ca="1" si="24"/>
        <v>4821.6867768088869</v>
      </c>
      <c r="V114" s="36" t="str">
        <f t="shared" ref="V114:Z117" si="25">IF(V$104="","",V510)</f>
        <v/>
      </c>
      <c r="W114" s="36" t="str">
        <f t="shared" si="25"/>
        <v/>
      </c>
      <c r="X114" s="36" t="str">
        <f t="shared" si="25"/>
        <v/>
      </c>
      <c r="Y114" s="36" t="str">
        <f t="shared" si="25"/>
        <v/>
      </c>
      <c r="Z114" s="36" t="str">
        <f t="shared" si="25"/>
        <v/>
      </c>
    </row>
    <row r="115" spans="1:26" s="3" customFormat="1" ht="14" outlineLevel="1" x14ac:dyDescent="0.2">
      <c r="B115" s="3" t="str">
        <f t="shared" ref="B115:B117" si="26">B300</f>
        <v>1 Lien Term Loan</v>
      </c>
      <c r="Q115" s="36">
        <f t="shared" ref="Q115:U115" ca="1" si="27">Q235</f>
        <v>6500</v>
      </c>
      <c r="R115" s="36">
        <f t="shared" ca="1" si="27"/>
        <v>6500</v>
      </c>
      <c r="S115" s="36">
        <f t="shared" ca="1" si="27"/>
        <v>6499.9999999999982</v>
      </c>
      <c r="T115" s="36">
        <f t="shared" ca="1" si="27"/>
        <v>6500.0000000002428</v>
      </c>
      <c r="U115" s="36">
        <f t="shared" ca="1" si="27"/>
        <v>6499.9999999626216</v>
      </c>
      <c r="V115" s="36" t="str">
        <f t="shared" si="25"/>
        <v/>
      </c>
      <c r="W115" s="36" t="str">
        <f t="shared" si="25"/>
        <v/>
      </c>
      <c r="X115" s="36" t="str">
        <f t="shared" si="25"/>
        <v/>
      </c>
      <c r="Y115" s="36" t="str">
        <f t="shared" si="25"/>
        <v/>
      </c>
      <c r="Z115" s="36" t="str">
        <f t="shared" si="25"/>
        <v/>
      </c>
    </row>
    <row r="116" spans="1:26" s="3" customFormat="1" ht="14" outlineLevel="1" x14ac:dyDescent="0.2">
      <c r="B116" s="3" t="str">
        <f t="shared" si="26"/>
        <v>Senior Secured Increasing Rate Secured Bridge Loan</v>
      </c>
      <c r="Q116" s="36">
        <f t="shared" ref="Q116:U116" si="28">Q236</f>
        <v>3000</v>
      </c>
      <c r="R116" s="36">
        <f t="shared" si="28"/>
        <v>3000</v>
      </c>
      <c r="S116" s="36">
        <f t="shared" si="28"/>
        <v>3000</v>
      </c>
      <c r="T116" s="36">
        <f t="shared" si="28"/>
        <v>3000</v>
      </c>
      <c r="U116" s="36">
        <f t="shared" si="28"/>
        <v>3000</v>
      </c>
      <c r="V116" s="36" t="str">
        <f t="shared" si="25"/>
        <v/>
      </c>
      <c r="W116" s="36" t="str">
        <f t="shared" si="25"/>
        <v/>
      </c>
      <c r="X116" s="36" t="str">
        <f t="shared" si="25"/>
        <v/>
      </c>
      <c r="Y116" s="36" t="str">
        <f t="shared" si="25"/>
        <v/>
      </c>
      <c r="Z116" s="36" t="str">
        <f t="shared" si="25"/>
        <v/>
      </c>
    </row>
    <row r="117" spans="1:26" s="3" customFormat="1" ht="14" outlineLevel="1" x14ac:dyDescent="0.2">
      <c r="B117" s="10" t="str">
        <f t="shared" si="26"/>
        <v>Senior Secured Increasing Rate Unsecured Bridge Loan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76">
        <f t="shared" ref="Q117:U117" si="29">Q237</f>
        <v>3000</v>
      </c>
      <c r="R117" s="76">
        <f t="shared" si="29"/>
        <v>3000</v>
      </c>
      <c r="S117" s="76">
        <f t="shared" si="29"/>
        <v>3000</v>
      </c>
      <c r="T117" s="76">
        <f t="shared" si="29"/>
        <v>3000</v>
      </c>
      <c r="U117" s="76">
        <f t="shared" si="29"/>
        <v>3000</v>
      </c>
      <c r="V117" s="76" t="str">
        <f t="shared" si="25"/>
        <v/>
      </c>
      <c r="W117" s="76" t="str">
        <f t="shared" si="25"/>
        <v/>
      </c>
      <c r="X117" s="76" t="str">
        <f t="shared" si="25"/>
        <v/>
      </c>
      <c r="Y117" s="76" t="str">
        <f t="shared" si="25"/>
        <v/>
      </c>
      <c r="Z117" s="76" t="str">
        <f t="shared" si="25"/>
        <v/>
      </c>
    </row>
    <row r="118" spans="1:26" s="3" customFormat="1" ht="14" outlineLevel="1" x14ac:dyDescent="0.2">
      <c r="B118" s="3" t="s">
        <v>200</v>
      </c>
      <c r="Q118" s="36">
        <f ca="1">SUM(Q114:Q117)</f>
        <v>13498.706575210506</v>
      </c>
      <c r="R118" s="36">
        <f t="shared" ref="R118:U118" ca="1" si="30">SUM(R114:R117)</f>
        <v>14488.624380877713</v>
      </c>
      <c r="S118" s="36">
        <f t="shared" ca="1" si="30"/>
        <v>15570.931912230852</v>
      </c>
      <c r="T118" s="36">
        <f t="shared" ca="1" si="30"/>
        <v>16562.483402228099</v>
      </c>
      <c r="U118" s="36">
        <f t="shared" ca="1" si="30"/>
        <v>17321.686776771508</v>
      </c>
      <c r="V118" s="36" t="str">
        <f>IF(V$104="","",SUM(V116:V117))</f>
        <v/>
      </c>
      <c r="W118" s="36" t="str">
        <f>IF(W$104="","",SUM(W116:W117))</f>
        <v/>
      </c>
      <c r="X118" s="36" t="str">
        <f t="shared" ref="X118:Z118" si="31">IF(X$104="","",SUM(X116:X117))</f>
        <v/>
      </c>
      <c r="Y118" s="36" t="str">
        <f t="shared" si="31"/>
        <v/>
      </c>
      <c r="Z118" s="36" t="str">
        <f t="shared" si="31"/>
        <v/>
      </c>
    </row>
    <row r="119" spans="1:26" s="3" customFormat="1" ht="14" outlineLevel="1" x14ac:dyDescent="0.2">
      <c r="Q119" s="36" t="str">
        <f t="shared" ref="Q119:Z119" si="32">IF(Q$104="","",Q517)</f>
        <v/>
      </c>
      <c r="R119" s="36" t="str">
        <f t="shared" si="32"/>
        <v/>
      </c>
      <c r="S119" s="36" t="str">
        <f t="shared" si="32"/>
        <v/>
      </c>
      <c r="T119" s="36" t="str">
        <f t="shared" si="32"/>
        <v/>
      </c>
      <c r="U119" s="36" t="str">
        <f t="shared" si="32"/>
        <v/>
      </c>
      <c r="V119" s="36" t="str">
        <f t="shared" si="32"/>
        <v/>
      </c>
      <c r="W119" s="36" t="str">
        <f t="shared" si="32"/>
        <v/>
      </c>
      <c r="X119" s="36" t="str">
        <f t="shared" si="32"/>
        <v/>
      </c>
      <c r="Y119" s="36" t="str">
        <f t="shared" si="32"/>
        <v/>
      </c>
      <c r="Z119" s="36" t="str">
        <f t="shared" si="32"/>
        <v/>
      </c>
    </row>
    <row r="120" spans="1:26" s="3" customFormat="1" ht="14" outlineLevel="1" x14ac:dyDescent="0.2">
      <c r="B120" s="10" t="s">
        <v>232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76">
        <f ca="1">Q246</f>
        <v>29777.036545887313</v>
      </c>
      <c r="R120" s="76">
        <f t="shared" ref="R120:U120" ca="1" si="33">R246</f>
        <v>29124.302708049232</v>
      </c>
      <c r="S120" s="76">
        <f t="shared" ca="1" si="33"/>
        <v>28541.328302501748</v>
      </c>
      <c r="T120" s="76">
        <f t="shared" ca="1" si="33"/>
        <v>28387.177653532024</v>
      </c>
      <c r="U120" s="76">
        <f t="shared" ca="1" si="33"/>
        <v>29007.55964631584</v>
      </c>
      <c r="V120" s="76" t="str">
        <f>IF(V$104="","",V533)</f>
        <v/>
      </c>
      <c r="W120" s="76" t="str">
        <f>IF(W$104="","",W533)</f>
        <v/>
      </c>
      <c r="X120" s="76" t="str">
        <f>IF(X$104="","",X533)</f>
        <v/>
      </c>
      <c r="Y120" s="76" t="str">
        <f>IF(Y$104="","",Y533)</f>
        <v/>
      </c>
      <c r="Z120" s="76" t="str">
        <f>IF(Z$104="","",Z533)</f>
        <v/>
      </c>
    </row>
    <row r="121" spans="1:26" s="3" customFormat="1" ht="14" outlineLevel="1" x14ac:dyDescent="0.2">
      <c r="B121" s="100" t="s">
        <v>233</v>
      </c>
      <c r="Q121" s="36">
        <f ca="1">SUM(Q118,Q120)</f>
        <v>43275.743121097817</v>
      </c>
      <c r="R121" s="36">
        <f t="shared" ref="R121:U121" ca="1" si="34">SUM(R118,R120)</f>
        <v>43612.927088926946</v>
      </c>
      <c r="S121" s="36">
        <f t="shared" ca="1" si="34"/>
        <v>44112.260214732596</v>
      </c>
      <c r="T121" s="36">
        <f t="shared" ca="1" si="34"/>
        <v>44949.661055760123</v>
      </c>
      <c r="U121" s="36">
        <f t="shared" ca="1" si="34"/>
        <v>46329.246423087345</v>
      </c>
      <c r="V121" s="149" t="str">
        <f>IF(V$104="","",#REF!+V120)</f>
        <v/>
      </c>
      <c r="W121" s="149" t="str">
        <f>IF(W$104="","",#REF!+W120)</f>
        <v/>
      </c>
      <c r="X121" s="149" t="str">
        <f>IF(X$104="","",#REF!+X120)</f>
        <v/>
      </c>
      <c r="Y121" s="149" t="str">
        <f>IF(Y$104="","",#REF!+Y120)</f>
        <v/>
      </c>
      <c r="Z121" s="149" t="str">
        <f>IF(Z$104="","",#REF!+Z120)</f>
        <v/>
      </c>
    </row>
    <row r="122" spans="1:26" s="3" customFormat="1" ht="14" outlineLevel="1" x14ac:dyDescent="0.2">
      <c r="B122" s="24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1:26" s="3" customFormat="1" ht="14" x14ac:dyDescent="0.2"/>
    <row r="124" spans="1:26" s="3" customFormat="1" ht="14" x14ac:dyDescent="0.2"/>
    <row r="125" spans="1:26" s="6" customFormat="1" ht="15" customHeight="1" x14ac:dyDescent="0.2">
      <c r="A125" s="6" t="s">
        <v>234</v>
      </c>
    </row>
    <row r="126" spans="1:26" s="3" customFormat="1" ht="15" customHeight="1" outlineLevel="1" x14ac:dyDescent="0.2"/>
    <row r="127" spans="1:26" s="3" customFormat="1" ht="15" customHeight="1" outlineLevel="1" x14ac:dyDescent="0.2">
      <c r="B127" s="3" t="s">
        <v>235</v>
      </c>
      <c r="D127" s="71"/>
      <c r="E127" s="71"/>
      <c r="F127" s="71"/>
      <c r="G127" s="71"/>
      <c r="H127" s="71"/>
      <c r="Q127" s="248">
        <f ca="1">Q118/Q121</f>
        <v>0.31192316068235482</v>
      </c>
      <c r="R127" s="248">
        <f t="shared" ref="R127:U127" ca="1" si="35">R118/R121</f>
        <v>0.33220940092682488</v>
      </c>
      <c r="S127" s="248">
        <f t="shared" ca="1" si="35"/>
        <v>0.35298422335272855</v>
      </c>
      <c r="T127" s="248">
        <f t="shared" ca="1" si="35"/>
        <v>0.36846737023628084</v>
      </c>
      <c r="U127" s="248">
        <f t="shared" ca="1" si="35"/>
        <v>0.37388233381969188</v>
      </c>
      <c r="V127" s="248"/>
      <c r="W127" s="248"/>
      <c r="X127" s="249" t="str">
        <f t="shared" ref="X127:Z127" si="36">IF(X$104="","",X119/X122)</f>
        <v/>
      </c>
      <c r="Y127" s="249" t="str">
        <f t="shared" si="36"/>
        <v/>
      </c>
      <c r="Z127" s="249" t="str">
        <f t="shared" si="36"/>
        <v/>
      </c>
    </row>
    <row r="128" spans="1:26" s="3" customFormat="1" ht="15" customHeight="1" outlineLevel="1" x14ac:dyDescent="0.2">
      <c r="B128" s="3" t="s">
        <v>236</v>
      </c>
      <c r="D128" s="326"/>
      <c r="E128" s="326"/>
      <c r="F128" s="326"/>
      <c r="G128" s="326"/>
      <c r="H128" s="326"/>
      <c r="Q128" s="250">
        <f ca="1">Q100/Q105</f>
        <v>-0.5851333761778521</v>
      </c>
      <c r="R128" s="250">
        <f ca="1">R100/R105</f>
        <v>-0.73501206996417823</v>
      </c>
      <c r="S128" s="250">
        <f ca="1">S100/S105</f>
        <v>-0.90892098104559438</v>
      </c>
      <c r="T128" s="250">
        <f ca="1">T100/T105</f>
        <v>-1.5174194835592161</v>
      </c>
      <c r="U128" s="250">
        <f ca="1">U100/U105</f>
        <v>-2.5156672032847083</v>
      </c>
      <c r="V128" s="250"/>
      <c r="W128" s="250"/>
      <c r="X128" s="250" t="str">
        <f>IF(X$104="","",IF(X92/X96&gt;0,X92/X96,"N/A"))</f>
        <v/>
      </c>
      <c r="Y128" s="250" t="str">
        <f>IF(Y$104="","",IF(Y92/Y96&gt;0,Y92/Y96,"N/A"))</f>
        <v/>
      </c>
      <c r="Z128" s="250" t="str">
        <f>IF(Z$104="","",IF(Z92/Z96&gt;0,Z92/Z96,"N/A"))</f>
        <v/>
      </c>
    </row>
    <row r="129" spans="1:31" s="3" customFormat="1" ht="15" customHeight="1" outlineLevel="1" x14ac:dyDescent="0.2">
      <c r="B129" s="3" t="s">
        <v>237</v>
      </c>
      <c r="D129" s="326"/>
      <c r="E129" s="326"/>
      <c r="F129" s="326"/>
      <c r="G129" s="326"/>
      <c r="H129" s="326"/>
      <c r="Q129" s="250">
        <f ca="1">(Q100+Q102)/Q105</f>
        <v>-9.9005010404985161E-2</v>
      </c>
      <c r="R129" s="250">
        <f ca="1">(R100+R102)/R105</f>
        <v>-0.12436459890552287</v>
      </c>
      <c r="S129" s="250">
        <f ca="1">(S100+S102)/S105</f>
        <v>-0.1140463887574719</v>
      </c>
      <c r="T129" s="250">
        <f ca="1">(T100+T102)/T105</f>
        <v>-0.42118386815872422</v>
      </c>
      <c r="U129" s="250">
        <f ca="1">(U100+U102)/U105</f>
        <v>-0.90796381310995156</v>
      </c>
      <c r="V129" s="250"/>
      <c r="W129" s="250"/>
      <c r="X129" s="250" t="str">
        <f>IF(X$104="","",IF((X92-X94)/X96&gt;0,(X92-X94)/X96,"N/A"))</f>
        <v/>
      </c>
      <c r="Y129" s="250" t="str">
        <f>IF(Y$104="","",IF((Y92-Y94)/Y96&gt;0,(Y92-Y94)/Y96,"N/A"))</f>
        <v/>
      </c>
      <c r="Z129" s="250" t="str">
        <f>IF(Z$104="","",IF((Z92-Z94)/Z96&gt;0,(Z92-Z94)/Z96,"N/A"))</f>
        <v/>
      </c>
    </row>
    <row r="130" spans="1:31" s="3" customFormat="1" ht="15" customHeight="1" outlineLevel="1" x14ac:dyDescent="0.2">
      <c r="B130" s="3" t="s">
        <v>238</v>
      </c>
      <c r="D130" s="326"/>
      <c r="E130" s="326"/>
      <c r="F130" s="326"/>
      <c r="G130" s="326"/>
      <c r="H130" s="326"/>
      <c r="Q130" s="250">
        <f ca="1">Q100/Q106</f>
        <v>-0.5851333761778521</v>
      </c>
      <c r="R130" s="250">
        <f ca="1">R100/R106</f>
        <v>-0.73501206996417823</v>
      </c>
      <c r="S130" s="250">
        <f ca="1">S100/S106</f>
        <v>-0.90892098104559438</v>
      </c>
      <c r="T130" s="250">
        <f ca="1">T100/T106</f>
        <v>-1.5174194835592161</v>
      </c>
      <c r="U130" s="250">
        <f ca="1">U100/U106</f>
        <v>-2.5156672032847083</v>
      </c>
      <c r="V130" s="250"/>
      <c r="W130" s="250"/>
      <c r="X130" s="250" t="str">
        <f>IF(X$104="","",IF(X92/X97&gt;0,X92/X97,"N/A"))</f>
        <v/>
      </c>
      <c r="Y130" s="250" t="str">
        <f>IF(Y$104="","",IF(Y92/Y97&gt;0,Y92/Y97,"N/A"))</f>
        <v/>
      </c>
      <c r="Z130" s="250" t="str">
        <f>IF(Z$104="","",IF(Z92/Z97&gt;0,Z92/Z97,"N/A"))</f>
        <v/>
      </c>
    </row>
    <row r="131" spans="1:31" s="3" customFormat="1" ht="15" customHeight="1" outlineLevel="1" x14ac:dyDescent="0.2">
      <c r="B131" s="3" t="s">
        <v>239</v>
      </c>
      <c r="D131" s="326"/>
      <c r="E131" s="326"/>
      <c r="F131" s="326"/>
      <c r="G131" s="326"/>
      <c r="H131" s="326"/>
      <c r="Q131" s="250">
        <f ca="1">(Q100+Q102)/Q106</f>
        <v>-9.9005010404985161E-2</v>
      </c>
      <c r="R131" s="250">
        <f ca="1">(R100+R102)/R106</f>
        <v>-0.12436459890552287</v>
      </c>
      <c r="S131" s="250">
        <f ca="1">(S100+S102)/S106</f>
        <v>-0.1140463887574719</v>
      </c>
      <c r="T131" s="250">
        <f ca="1">(T100+T102)/T106</f>
        <v>-0.42118386815872422</v>
      </c>
      <c r="U131" s="250">
        <f ca="1">(U100+U102)/U106</f>
        <v>-0.90796381310995156</v>
      </c>
      <c r="V131" s="250"/>
      <c r="W131" s="250"/>
      <c r="X131" s="250" t="str">
        <f>IF(X$104="","",IF((X92-X94)/X97&gt;0,(X92-X94)/X97,"N/A"))</f>
        <v/>
      </c>
      <c r="Y131" s="250" t="str">
        <f>IF(Y$104="","",IF((Y92-Y94)/Y97&gt;0,(Y92-Y94)/Y97,"N/A"))</f>
        <v/>
      </c>
      <c r="Z131" s="250" t="str">
        <f>IF(Z$104="","",IF((Z92-Z94)/Z97&gt;0,(Z92-Z94)/Z97,"N/A"))</f>
        <v/>
      </c>
    </row>
    <row r="132" spans="1:31" s="3" customFormat="1" ht="15" customHeight="1" outlineLevel="1" x14ac:dyDescent="0.2">
      <c r="B132" s="3" t="s">
        <v>240</v>
      </c>
      <c r="D132" s="326"/>
      <c r="E132" s="326"/>
      <c r="F132" s="326"/>
      <c r="G132" s="326"/>
      <c r="H132" s="326"/>
      <c r="Q132" s="250">
        <f ca="1">Q118/Q100</f>
        <v>15.741807033145982</v>
      </c>
      <c r="R132" s="250">
        <f ca="1">R118/R100</f>
        <v>14.692366065737188</v>
      </c>
      <c r="S132" s="250">
        <f ca="1">S118/S100</f>
        <v>12.785338626286689</v>
      </c>
      <c r="T132" s="250">
        <f ca="1">T118/T100</f>
        <v>7.7478436497702496</v>
      </c>
      <c r="U132" s="250">
        <f ca="1">U118/U100</f>
        <v>4.6245381134813925</v>
      </c>
      <c r="V132" s="250"/>
      <c r="W132" s="250"/>
      <c r="X132" s="250" t="str">
        <f>IF(X$104="","",IF(X119/X92&gt;0,X119/X92,"N/A"))</f>
        <v/>
      </c>
      <c r="Y132" s="250" t="str">
        <f>IF(Y$104="","",IF(Y119/Y92&gt;0,Y119/Y92,"N/A"))</f>
        <v/>
      </c>
      <c r="Z132" s="250" t="str">
        <f>IF(Z$104="","",IF(Z119/Z92&gt;0,Z119/Z92,"N/A"))</f>
        <v/>
      </c>
    </row>
    <row r="133" spans="1:31" s="3" customFormat="1" ht="15" customHeight="1" outlineLevel="1" x14ac:dyDescent="0.2">
      <c r="B133" s="3" t="s">
        <v>241</v>
      </c>
      <c r="D133" s="326"/>
      <c r="E133" s="326"/>
      <c r="F133" s="326"/>
      <c r="G133" s="326"/>
      <c r="H133" s="326"/>
      <c r="Q133" s="250">
        <f ca="1">(Q118-Q112)/Q100</f>
        <v>11.077120992172311</v>
      </c>
      <c r="R133" s="250">
        <f ca="1">(R118-R112)/R100</f>
        <v>10.636117334455733</v>
      </c>
      <c r="S133" s="250">
        <f ca="1">(S118-S112)/S100</f>
        <v>9.5009266981235712</v>
      </c>
      <c r="T133" s="250">
        <f ca="1">(T118-T112)/T100</f>
        <v>5.8766644403219956</v>
      </c>
      <c r="U133" s="250">
        <f ca="1">(U118-U112)/U100</f>
        <v>3.5566194579650192</v>
      </c>
      <c r="V133" s="250"/>
      <c r="W133" s="250"/>
      <c r="X133" s="250" t="str">
        <f>IF(X$104="","",IF((X119-X104)/X92&gt;0,(X119-X104)/X92,"N/A"))</f>
        <v/>
      </c>
      <c r="Y133" s="250" t="str">
        <f>IF(Y$104="","",IF((Y119-Y104)/Y92&gt;0,(Y119-Y104)/Y92,"N/A"))</f>
        <v/>
      </c>
      <c r="Z133" s="250" t="str">
        <f>IF(Z$104="","",IF((Z119-Z104)/Z92&gt;0,(Z119-Z104)/Z92,"N/A"))</f>
        <v/>
      </c>
    </row>
    <row r="134" spans="1:31" s="3" customFormat="1" ht="15" customHeight="1" outlineLevel="1" x14ac:dyDescent="0.2"/>
    <row r="135" spans="1:31" s="3" customFormat="1" ht="14" x14ac:dyDescent="0.2">
      <c r="G135" s="36"/>
      <c r="S135" s="251"/>
    </row>
    <row r="136" spans="1:31" s="3" customFormat="1" ht="14" x14ac:dyDescent="0.2"/>
    <row r="137" spans="1:31" s="6" customFormat="1" ht="14" x14ac:dyDescent="0.2">
      <c r="A137" s="6" t="s">
        <v>3</v>
      </c>
    </row>
    <row r="138" spans="1:31" s="3" customFormat="1" ht="14" outlineLevel="1" x14ac:dyDescent="0.2">
      <c r="W138" s="7"/>
      <c r="X138" s="7"/>
      <c r="Y138" s="7"/>
      <c r="Z138" s="7"/>
    </row>
    <row r="139" spans="1:31" s="3" customFormat="1" ht="14" outlineLevel="1" x14ac:dyDescent="0.2">
      <c r="G139" s="8" t="s">
        <v>5</v>
      </c>
      <c r="H139" s="9"/>
      <c r="I139" s="9"/>
      <c r="J139" s="9"/>
      <c r="K139" s="81"/>
      <c r="N139" s="10"/>
      <c r="P139" s="72"/>
      <c r="Q139" s="11" t="s">
        <v>6</v>
      </c>
      <c r="R139" s="12"/>
      <c r="S139" s="12"/>
      <c r="T139" s="12"/>
      <c r="U139" s="12"/>
      <c r="V139" s="12"/>
      <c r="W139" s="12"/>
      <c r="X139" s="12"/>
      <c r="Y139" s="12"/>
      <c r="Z139" s="13"/>
    </row>
    <row r="140" spans="1:31" s="3" customFormat="1" ht="14" outlineLevel="1" x14ac:dyDescent="0.2">
      <c r="B140" s="14"/>
      <c r="C140" s="15"/>
      <c r="D140" s="15"/>
      <c r="E140" s="15"/>
      <c r="F140" s="15"/>
      <c r="G140" s="15"/>
      <c r="H140" s="15"/>
      <c r="I140" s="15"/>
      <c r="J140" s="15"/>
      <c r="L140" s="16" t="s">
        <v>7</v>
      </c>
      <c r="M140" s="204"/>
      <c r="N140" s="18" t="s">
        <v>8</v>
      </c>
      <c r="O140" s="205"/>
      <c r="P140" s="21"/>
      <c r="Q140" s="19" t="s">
        <v>70</v>
      </c>
      <c r="R140" s="19" t="s">
        <v>71</v>
      </c>
      <c r="S140" s="19" t="s">
        <v>72</v>
      </c>
      <c r="T140" s="19" t="s">
        <v>84</v>
      </c>
      <c r="U140" s="19" t="s">
        <v>74</v>
      </c>
      <c r="V140" s="19" t="str">
        <f>IFERROR(IF(#REF!&gt;=(U$411+1),U$411+1,""),"")</f>
        <v/>
      </c>
      <c r="W140" s="19" t="str">
        <f>IFERROR(IF(#REF!&gt;=(V$411+1),V$411+1,""),"")</f>
        <v/>
      </c>
      <c r="X140" s="19" t="str">
        <f>IFERROR(IF(#REF!&gt;=(W$411+1),W$411+1,""),"")</f>
        <v/>
      </c>
      <c r="Y140" s="19" t="str">
        <f>IFERROR(IF(#REF!&gt;=(X$411+1),X$411+1,""),"")</f>
        <v/>
      </c>
      <c r="Z140" s="20" t="str">
        <f>IFERROR(IF(#REF!&gt;=(Y$411+1),Y$411+1,""),"")</f>
        <v/>
      </c>
      <c r="AC140" s="22"/>
      <c r="AD140" s="22"/>
    </row>
    <row r="141" spans="1:31" s="3" customFormat="1" ht="14" outlineLevel="1" x14ac:dyDescent="0.2">
      <c r="B141" s="23"/>
      <c r="G141" s="24">
        <v>2017</v>
      </c>
      <c r="H141" s="24">
        <f>G141+1</f>
        <v>2018</v>
      </c>
      <c r="I141" s="24">
        <f t="shared" ref="I141:K141" si="37">H141+1</f>
        <v>2019</v>
      </c>
      <c r="J141" s="24">
        <f t="shared" si="37"/>
        <v>2020</v>
      </c>
      <c r="K141" s="24">
        <f t="shared" si="37"/>
        <v>2021</v>
      </c>
      <c r="L141" s="25">
        <v>44742</v>
      </c>
      <c r="M141" s="206"/>
      <c r="N141" s="27" t="s">
        <v>25</v>
      </c>
      <c r="O141" s="207"/>
      <c r="P141" s="201"/>
      <c r="Q141" s="29">
        <v>2023</v>
      </c>
      <c r="R141" s="29">
        <v>2024</v>
      </c>
      <c r="S141" s="29">
        <v>2025</v>
      </c>
      <c r="T141" s="29">
        <v>2026</v>
      </c>
      <c r="U141" s="29">
        <v>2027</v>
      </c>
      <c r="V141" s="29"/>
      <c r="W141" s="29" t="str">
        <f t="shared" ref="W141:Z141" si="38">IF(W140="","",V141+1)</f>
        <v/>
      </c>
      <c r="X141" s="29" t="str">
        <f t="shared" si="38"/>
        <v/>
      </c>
      <c r="Y141" s="29" t="str">
        <f t="shared" si="38"/>
        <v/>
      </c>
      <c r="Z141" s="30" t="str">
        <f t="shared" si="38"/>
        <v/>
      </c>
      <c r="AC141" s="22"/>
      <c r="AD141" s="22"/>
    </row>
    <row r="142" spans="1:31" s="3" customFormat="1" ht="14" outlineLevel="1" x14ac:dyDescent="0.2">
      <c r="B142" s="23" t="s">
        <v>9</v>
      </c>
      <c r="G142" s="31">
        <v>2443.29</v>
      </c>
      <c r="H142" s="31">
        <v>3042.36</v>
      </c>
      <c r="I142" s="31">
        <v>3459.33</v>
      </c>
      <c r="J142" s="31">
        <v>3716.35</v>
      </c>
      <c r="K142" s="156">
        <v>5077.4799999999996</v>
      </c>
      <c r="L142" s="161">
        <v>5228.7</v>
      </c>
      <c r="N142" s="33">
        <f>IFERROR((K142/G142)^(1/($K$141-$G$141))-1,"")</f>
        <v>0.20065518577782515</v>
      </c>
      <c r="O142" s="15"/>
      <c r="P142" s="69"/>
      <c r="Q142" s="34">
        <f ca="1">L142*(1+Q143)</f>
        <v>4287.5340000000006</v>
      </c>
      <c r="R142" s="34">
        <f ca="1">Q142*(1+R143)</f>
        <v>4930.6641</v>
      </c>
      <c r="S142" s="34">
        <f t="shared" ref="S142:U142" ca="1" si="39">R142*(1+S143)</f>
        <v>6409.8633300000001</v>
      </c>
      <c r="T142" s="34">
        <f t="shared" ca="1" si="39"/>
        <v>9294.3018284999998</v>
      </c>
      <c r="U142" s="34">
        <f t="shared" ca="1" si="39"/>
        <v>14406.167834174999</v>
      </c>
      <c r="V142" s="34"/>
      <c r="W142" s="34"/>
      <c r="X142" s="34"/>
      <c r="Y142" s="34"/>
      <c r="Z142" s="35"/>
      <c r="AE142" s="36"/>
    </row>
    <row r="143" spans="1:31" s="3" customFormat="1" ht="14" outlineLevel="1" x14ac:dyDescent="0.2">
      <c r="A143" s="175"/>
      <c r="B143" s="37" t="s">
        <v>10</v>
      </c>
      <c r="C143" s="38"/>
      <c r="D143" s="38"/>
      <c r="E143" s="38"/>
      <c r="F143" s="38"/>
      <c r="G143" s="39"/>
      <c r="H143" s="39">
        <f>H142/G142-1</f>
        <v>0.24518988740591596</v>
      </c>
      <c r="I143" s="39">
        <f>I142/H142-1</f>
        <v>0.1370547864158087</v>
      </c>
      <c r="J143" s="39">
        <f t="shared" ref="J143" si="40">J142/I142-1</f>
        <v>7.4297624106402171E-2</v>
      </c>
      <c r="K143" s="79">
        <f>K142/J142-1</f>
        <v>0.36625452392804769</v>
      </c>
      <c r="L143" s="40">
        <f>L142/K142-1</f>
        <v>2.9782490526796712E-2</v>
      </c>
      <c r="N143" s="33"/>
      <c r="P143" s="50"/>
      <c r="Q143" s="313">
        <f ca="1">Q482</f>
        <v>-0.18</v>
      </c>
      <c r="R143" s="313">
        <f t="shared" ref="R143:U143" ca="1" si="41">R482</f>
        <v>0.15</v>
      </c>
      <c r="S143" s="313">
        <f t="shared" ca="1" si="41"/>
        <v>0.3</v>
      </c>
      <c r="T143" s="313">
        <f t="shared" ca="1" si="41"/>
        <v>0.45</v>
      </c>
      <c r="U143" s="313">
        <f t="shared" ca="1" si="41"/>
        <v>0.55000000000000004</v>
      </c>
      <c r="V143" s="41"/>
      <c r="W143" s="41"/>
      <c r="X143" s="41"/>
      <c r="Y143" s="41"/>
      <c r="Z143" s="42"/>
    </row>
    <row r="144" spans="1:31" s="3" customFormat="1" ht="14" outlineLevel="1" x14ac:dyDescent="0.2">
      <c r="A144" s="175"/>
      <c r="B144" s="23" t="s">
        <v>11</v>
      </c>
      <c r="G144" s="31">
        <v>861.24199999999996</v>
      </c>
      <c r="H144" s="31">
        <v>965</v>
      </c>
      <c r="I144" s="31">
        <v>1137.04</v>
      </c>
      <c r="J144" s="31">
        <v>1366.39</v>
      </c>
      <c r="K144" s="148">
        <v>1797.51</v>
      </c>
      <c r="L144" s="101">
        <v>2047.7</v>
      </c>
      <c r="N144" s="33"/>
      <c r="P144" s="50"/>
      <c r="Q144" s="34">
        <f ca="1">Q142*Q145</f>
        <v>1372.0108800000003</v>
      </c>
      <c r="R144" s="34">
        <f t="shared" ref="R144:U144" ca="1" si="42">R142*R145</f>
        <v>1627.1191530000001</v>
      </c>
      <c r="S144" s="34">
        <f t="shared" ca="1" si="42"/>
        <v>2243.4521654999999</v>
      </c>
      <c r="T144" s="34">
        <f t="shared" ca="1" si="42"/>
        <v>2974.1765851199998</v>
      </c>
      <c r="U144" s="34">
        <f t="shared" ca="1" si="42"/>
        <v>4321.8503502525</v>
      </c>
      <c r="V144" s="34"/>
      <c r="W144" s="34"/>
      <c r="X144" s="34"/>
      <c r="Y144" s="34"/>
      <c r="Z144" s="43"/>
      <c r="AE144" s="36"/>
    </row>
    <row r="145" spans="1:32" s="3" customFormat="1" ht="14" outlineLevel="1" x14ac:dyDescent="0.2">
      <c r="A145" s="175"/>
      <c r="B145" s="44" t="s">
        <v>12</v>
      </c>
      <c r="C145" s="45"/>
      <c r="D145" s="45"/>
      <c r="E145" s="45"/>
      <c r="F145" s="45"/>
      <c r="G145" s="46">
        <f>G144/G142</f>
        <v>0.35249274543750436</v>
      </c>
      <c r="H145" s="46">
        <f>H144/H142</f>
        <v>0.31718797249503672</v>
      </c>
      <c r="I145" s="46">
        <f t="shared" ref="I145" si="43">I144/I142</f>
        <v>0.3286879251184478</v>
      </c>
      <c r="J145" s="46">
        <f t="shared" ref="J145" si="44">J144/J142</f>
        <v>0.36766989115664567</v>
      </c>
      <c r="K145" s="106">
        <f t="shared" ref="K145:L145" si="45">K144/K142</f>
        <v>0.354016165499421</v>
      </c>
      <c r="L145" s="98">
        <f t="shared" si="45"/>
        <v>0.39162698185017308</v>
      </c>
      <c r="M145" s="200"/>
      <c r="N145" s="33"/>
      <c r="P145" s="64"/>
      <c r="Q145" s="313">
        <f ca="1">Q488</f>
        <v>0.32</v>
      </c>
      <c r="R145" s="313">
        <f t="shared" ref="R145:U145" ca="1" si="46">R488</f>
        <v>0.33</v>
      </c>
      <c r="S145" s="313">
        <f t="shared" ca="1" si="46"/>
        <v>0.35</v>
      </c>
      <c r="T145" s="313">
        <f t="shared" ca="1" si="46"/>
        <v>0.32</v>
      </c>
      <c r="U145" s="313">
        <f t="shared" ca="1" si="46"/>
        <v>0.3</v>
      </c>
      <c r="V145" s="46"/>
      <c r="W145" s="46"/>
      <c r="X145" s="46"/>
      <c r="Y145" s="46"/>
      <c r="Z145" s="48"/>
    </row>
    <row r="146" spans="1:32" s="3" customFormat="1" ht="14" outlineLevel="1" x14ac:dyDescent="0.2">
      <c r="A146" s="175"/>
      <c r="B146" s="23" t="s">
        <v>13</v>
      </c>
      <c r="G146" s="36">
        <f>G142-G144</f>
        <v>1582.048</v>
      </c>
      <c r="H146" s="36">
        <f>H142-H144</f>
        <v>2077.36</v>
      </c>
      <c r="I146" s="36">
        <f t="shared" ref="I146:L146" si="47">I142-I144</f>
        <v>2322.29</v>
      </c>
      <c r="J146" s="36">
        <f t="shared" si="47"/>
        <v>2349.96</v>
      </c>
      <c r="K146" s="77">
        <f t="shared" si="47"/>
        <v>3279.9699999999993</v>
      </c>
      <c r="L146" s="97">
        <f t="shared" si="47"/>
        <v>3181</v>
      </c>
      <c r="M146" s="14"/>
      <c r="N146" s="203">
        <f>IFERROR((K146/G146)^(1/($K$141-$G$141))-1,"")</f>
        <v>0.19994835269497502</v>
      </c>
      <c r="O146" s="15"/>
      <c r="P146" s="69"/>
      <c r="Q146" s="68">
        <f ca="1">Q142-Q144</f>
        <v>2915.5231200000003</v>
      </c>
      <c r="R146" s="149">
        <f t="shared" ref="R146:U146" ca="1" si="48">R142-R144</f>
        <v>3303.5449469999999</v>
      </c>
      <c r="S146" s="149">
        <f t="shared" ca="1" si="48"/>
        <v>4166.4111645000003</v>
      </c>
      <c r="T146" s="149">
        <f t="shared" ca="1" si="48"/>
        <v>6320.12524338</v>
      </c>
      <c r="U146" s="149">
        <f t="shared" ca="1" si="48"/>
        <v>10084.317483922499</v>
      </c>
      <c r="V146" s="34"/>
      <c r="W146" s="34"/>
      <c r="X146" s="34"/>
      <c r="Y146" s="34"/>
      <c r="Z146" s="35"/>
      <c r="AE146" s="36"/>
    </row>
    <row r="147" spans="1:32" s="3" customFormat="1" ht="14" outlineLevel="1" x14ac:dyDescent="0.2">
      <c r="B147" s="37" t="s">
        <v>12</v>
      </c>
      <c r="C147" s="38"/>
      <c r="D147" s="38"/>
      <c r="E147" s="38"/>
      <c r="F147" s="38"/>
      <c r="G147" s="39">
        <f>G146/G142</f>
        <v>0.64750725456249569</v>
      </c>
      <c r="H147" s="39">
        <f>H146/H142</f>
        <v>0.68281202750496328</v>
      </c>
      <c r="I147" s="39">
        <f t="shared" ref="I147" si="49">I146/I142</f>
        <v>0.6713120748815522</v>
      </c>
      <c r="J147" s="39">
        <f t="shared" ref="J147" si="50">J146/J142</f>
        <v>0.63233010884335439</v>
      </c>
      <c r="K147" s="79">
        <f t="shared" ref="K147:L147" si="51">K146/K142</f>
        <v>0.64598383450057895</v>
      </c>
      <c r="L147" s="40">
        <f t="shared" si="51"/>
        <v>0.60837301814982692</v>
      </c>
      <c r="N147" s="33"/>
      <c r="P147" s="64"/>
      <c r="Q147" s="51">
        <f ca="1">Q146/Q142</f>
        <v>0.67999999999999994</v>
      </c>
      <c r="R147" s="71">
        <f t="shared" ref="R147:U147" ca="1" si="52">R146/R142</f>
        <v>0.66999999999999993</v>
      </c>
      <c r="S147" s="71">
        <f t="shared" ca="1" si="52"/>
        <v>0.65</v>
      </c>
      <c r="T147" s="71">
        <f t="shared" ca="1" si="52"/>
        <v>0.68</v>
      </c>
      <c r="U147" s="71">
        <f t="shared" ca="1" si="52"/>
        <v>0.7</v>
      </c>
      <c r="V147" s="41"/>
      <c r="W147" s="41"/>
      <c r="X147" s="41"/>
      <c r="Y147" s="41"/>
      <c r="Z147" s="42"/>
    </row>
    <row r="148" spans="1:32" s="3" customFormat="1" ht="14" outlineLevel="1" x14ac:dyDescent="0.2">
      <c r="B148" s="23"/>
      <c r="J148" s="36"/>
      <c r="K148" s="77"/>
      <c r="L148" s="53"/>
      <c r="N148" s="33"/>
      <c r="P148" s="50"/>
      <c r="Q148" s="54"/>
      <c r="R148" s="54"/>
      <c r="S148" s="54"/>
      <c r="T148" s="54"/>
      <c r="U148" s="54"/>
      <c r="V148" s="54"/>
      <c r="W148" s="54"/>
      <c r="X148" s="54"/>
      <c r="Y148" s="54"/>
      <c r="Z148" s="55"/>
    </row>
    <row r="149" spans="1:32" s="3" customFormat="1" ht="14" outlineLevel="1" x14ac:dyDescent="0.2">
      <c r="B149" s="23" t="s">
        <v>114</v>
      </c>
      <c r="G149" s="31">
        <v>542</v>
      </c>
      <c r="H149" s="31">
        <v>553.86</v>
      </c>
      <c r="I149" s="31">
        <v>682.28</v>
      </c>
      <c r="J149" s="31">
        <v>873.01</v>
      </c>
      <c r="K149" s="148">
        <v>1246.7</v>
      </c>
      <c r="L149" s="101">
        <v>1522.7</v>
      </c>
      <c r="N149" s="33"/>
      <c r="P149" s="50"/>
      <c r="Q149" s="34"/>
      <c r="R149" s="34"/>
      <c r="S149" s="34"/>
      <c r="T149" s="34"/>
      <c r="U149" s="34"/>
      <c r="V149" s="34"/>
      <c r="W149" s="34"/>
      <c r="X149" s="34"/>
      <c r="Y149" s="34"/>
      <c r="Z149" s="43"/>
      <c r="AE149" s="36"/>
    </row>
    <row r="150" spans="1:32" s="3" customFormat="1" ht="14" outlineLevel="1" x14ac:dyDescent="0.2">
      <c r="B150" s="23" t="s">
        <v>115</v>
      </c>
      <c r="G150" s="31">
        <v>46.5</v>
      </c>
      <c r="H150" s="31">
        <v>19</v>
      </c>
      <c r="I150" s="31">
        <v>16.5</v>
      </c>
      <c r="J150" s="31">
        <v>23.8</v>
      </c>
      <c r="K150" s="148">
        <v>41.2</v>
      </c>
      <c r="L150" s="101">
        <v>39.6</v>
      </c>
      <c r="N150" s="33"/>
      <c r="P150" s="50"/>
      <c r="Q150" s="34"/>
      <c r="R150" s="34"/>
      <c r="S150" s="34"/>
      <c r="T150" s="34"/>
      <c r="U150" s="34"/>
      <c r="V150" s="34"/>
      <c r="W150" s="34"/>
      <c r="X150" s="34"/>
      <c r="Y150" s="34"/>
      <c r="Z150" s="43"/>
      <c r="AE150" s="36"/>
    </row>
    <row r="151" spans="1:32" s="3" customFormat="1" ht="14" outlineLevel="1" x14ac:dyDescent="0.2">
      <c r="B151" s="23" t="s">
        <v>116</v>
      </c>
      <c r="G151" s="36">
        <f>G149-G150</f>
        <v>495.5</v>
      </c>
      <c r="H151" s="36">
        <f t="shared" ref="H151:L151" si="53">H149-H150</f>
        <v>534.86</v>
      </c>
      <c r="I151" s="36">
        <f t="shared" si="53"/>
        <v>665.78</v>
      </c>
      <c r="J151" s="36">
        <f t="shared" si="53"/>
        <v>849.21</v>
      </c>
      <c r="K151" s="77">
        <f t="shared" si="53"/>
        <v>1205.5</v>
      </c>
      <c r="L151" s="32">
        <f t="shared" si="53"/>
        <v>1483.1000000000001</v>
      </c>
      <c r="N151" s="33"/>
      <c r="P151" s="50"/>
      <c r="Q151" s="34">
        <f ca="1">Q152*Q142</f>
        <v>1029.0081600000001</v>
      </c>
      <c r="R151" s="34">
        <f t="shared" ref="R151:U151" ca="1" si="54">R152*R142</f>
        <v>1158.7060635</v>
      </c>
      <c r="S151" s="34">
        <f t="shared" ca="1" si="54"/>
        <v>1474.2685659000001</v>
      </c>
      <c r="T151" s="34">
        <f t="shared" ca="1" si="54"/>
        <v>2091.2179114125001</v>
      </c>
      <c r="U151" s="34">
        <f t="shared" ca="1" si="54"/>
        <v>3169.3569235185</v>
      </c>
      <c r="V151" s="34"/>
      <c r="W151" s="34"/>
      <c r="X151" s="34"/>
      <c r="Y151" s="34"/>
      <c r="Z151" s="43"/>
      <c r="AE151" s="36"/>
    </row>
    <row r="152" spans="1:32" s="38" customFormat="1" ht="14" outlineLevel="1" x14ac:dyDescent="0.2">
      <c r="B152" s="37" t="s">
        <v>12</v>
      </c>
      <c r="G152" s="39">
        <f>G151/G142</f>
        <v>0.20280032251595184</v>
      </c>
      <c r="H152" s="39">
        <f t="shared" ref="H152:L152" si="55">H151/H142</f>
        <v>0.17580430981211953</v>
      </c>
      <c r="I152" s="39">
        <f t="shared" si="55"/>
        <v>0.19245923343537621</v>
      </c>
      <c r="J152" s="39">
        <f t="shared" si="55"/>
        <v>0.22850646467636257</v>
      </c>
      <c r="K152" s="79">
        <f t="shared" si="55"/>
        <v>0.23742092534091716</v>
      </c>
      <c r="L152" s="40">
        <f t="shared" si="55"/>
        <v>0.28364603056209003</v>
      </c>
      <c r="N152" s="33"/>
      <c r="P152" s="64"/>
      <c r="Q152" s="41">
        <f ca="1">Q494</f>
        <v>0.24</v>
      </c>
      <c r="R152" s="41">
        <f t="shared" ref="R152:U152" ca="1" si="56">R494</f>
        <v>0.23499999999999999</v>
      </c>
      <c r="S152" s="41">
        <f t="shared" ca="1" si="56"/>
        <v>0.23</v>
      </c>
      <c r="T152" s="41">
        <f t="shared" ca="1" si="56"/>
        <v>0.22500000000000001</v>
      </c>
      <c r="U152" s="41">
        <f t="shared" ca="1" si="56"/>
        <v>0.22</v>
      </c>
      <c r="V152" s="41"/>
      <c r="W152" s="41"/>
      <c r="X152" s="41"/>
      <c r="Y152" s="41"/>
      <c r="Z152" s="42"/>
    </row>
    <row r="153" spans="1:32" s="38" customFormat="1" ht="14" outlineLevel="1" x14ac:dyDescent="0.2">
      <c r="B153" s="37"/>
      <c r="G153" s="39"/>
      <c r="H153" s="39"/>
      <c r="I153" s="39"/>
      <c r="J153" s="39"/>
      <c r="K153" s="79"/>
      <c r="L153" s="40"/>
      <c r="N153" s="33"/>
      <c r="P153" s="64"/>
      <c r="Q153" s="41"/>
      <c r="R153" s="41"/>
      <c r="S153" s="41"/>
      <c r="T153" s="41"/>
      <c r="U153" s="41"/>
      <c r="V153" s="41"/>
      <c r="W153" s="41"/>
      <c r="X153" s="41"/>
      <c r="Y153" s="41"/>
      <c r="Z153" s="42"/>
      <c r="AA153" s="37"/>
    </row>
    <row r="154" spans="1:32" s="3" customFormat="1" ht="14" outlineLevel="1" x14ac:dyDescent="0.2">
      <c r="B154" s="23" t="s">
        <v>112</v>
      </c>
      <c r="G154" s="31">
        <v>1001.307</v>
      </c>
      <c r="H154" s="31">
        <v>1070.18</v>
      </c>
      <c r="I154" s="31">
        <v>1273.6300000000001</v>
      </c>
      <c r="J154" s="31">
        <v>1450.29</v>
      </c>
      <c r="K154" s="148">
        <v>1760.31</v>
      </c>
      <c r="L154" s="101">
        <v>1939.4</v>
      </c>
      <c r="N154" s="33"/>
      <c r="P154" s="50"/>
      <c r="Q154" s="34"/>
      <c r="R154" s="34"/>
      <c r="S154" s="34"/>
      <c r="T154" s="34"/>
      <c r="U154" s="34"/>
      <c r="V154" s="34"/>
      <c r="W154" s="34"/>
      <c r="X154" s="34"/>
      <c r="Y154" s="34"/>
      <c r="Z154" s="43"/>
      <c r="AA154" s="23"/>
      <c r="AE154" s="36"/>
    </row>
    <row r="155" spans="1:32" s="38" customFormat="1" ht="14" outlineLevel="1" x14ac:dyDescent="0.2">
      <c r="B155" s="23" t="s">
        <v>17</v>
      </c>
      <c r="G155" s="31">
        <v>252.9</v>
      </c>
      <c r="H155" s="31">
        <v>294.7</v>
      </c>
      <c r="I155" s="31">
        <v>333</v>
      </c>
      <c r="J155" s="31">
        <v>362</v>
      </c>
      <c r="K155" s="148">
        <v>383.1</v>
      </c>
      <c r="L155" s="101">
        <v>452.5</v>
      </c>
      <c r="N155" s="33"/>
      <c r="P155" s="64"/>
      <c r="Q155" s="41"/>
      <c r="R155" s="41"/>
      <c r="S155" s="41"/>
      <c r="T155" s="41"/>
      <c r="U155" s="41"/>
      <c r="V155" s="41"/>
      <c r="W155" s="41"/>
      <c r="X155" s="41"/>
      <c r="Y155" s="41"/>
      <c r="Z155" s="42"/>
    </row>
    <row r="156" spans="1:32" s="38" customFormat="1" ht="14" outlineLevel="1" x14ac:dyDescent="0.2">
      <c r="B156" s="23" t="s">
        <v>113</v>
      </c>
      <c r="G156" s="150">
        <f>G154-G155</f>
        <v>748.40700000000004</v>
      </c>
      <c r="H156" s="150">
        <f t="shared" ref="H156:L156" si="57">H154-H155</f>
        <v>775.48</v>
      </c>
      <c r="I156" s="150">
        <f t="shared" si="57"/>
        <v>940.63000000000011</v>
      </c>
      <c r="J156" s="150">
        <f t="shared" si="57"/>
        <v>1088.29</v>
      </c>
      <c r="K156" s="157">
        <f t="shared" si="57"/>
        <v>1377.21</v>
      </c>
      <c r="L156" s="162">
        <f t="shared" si="57"/>
        <v>1486.9</v>
      </c>
      <c r="N156" s="33"/>
      <c r="P156" s="64"/>
      <c r="Q156" s="186">
        <f ca="1">Q157*Q142</f>
        <v>1029.0081600000001</v>
      </c>
      <c r="R156" s="186">
        <f t="shared" ref="R156:U156" ca="1" si="58">R157*R142</f>
        <v>1158.7060635</v>
      </c>
      <c r="S156" s="186">
        <f t="shared" ca="1" si="58"/>
        <v>1474.2685659000001</v>
      </c>
      <c r="T156" s="186">
        <f t="shared" ca="1" si="58"/>
        <v>2091.2179114125001</v>
      </c>
      <c r="U156" s="186">
        <f t="shared" ca="1" si="58"/>
        <v>3169.3569235185</v>
      </c>
      <c r="V156" s="41"/>
      <c r="W156" s="41"/>
      <c r="X156" s="41"/>
      <c r="Y156" s="41"/>
      <c r="Z156" s="42"/>
    </row>
    <row r="157" spans="1:32" s="38" customFormat="1" ht="14" outlineLevel="1" x14ac:dyDescent="0.2">
      <c r="B157" s="37" t="s">
        <v>12</v>
      </c>
      <c r="G157" s="71">
        <f t="shared" ref="G157:L157" si="59">G156/G142</f>
        <v>0.30631116240806455</v>
      </c>
      <c r="H157" s="71">
        <f t="shared" si="59"/>
        <v>0.25489422685020841</v>
      </c>
      <c r="I157" s="71">
        <f t="shared" si="59"/>
        <v>0.27191103479575529</v>
      </c>
      <c r="J157" s="71">
        <f t="shared" si="59"/>
        <v>0.29283840327202765</v>
      </c>
      <c r="K157" s="158">
        <f t="shared" si="59"/>
        <v>0.27123888228018628</v>
      </c>
      <c r="L157" s="67">
        <f t="shared" si="59"/>
        <v>0.28437278864727372</v>
      </c>
      <c r="N157" s="33"/>
      <c r="P157" s="64"/>
      <c r="Q157" s="41">
        <f ca="1">Q500</f>
        <v>0.24</v>
      </c>
      <c r="R157" s="41">
        <f t="shared" ref="R157:U157" ca="1" si="60">R500</f>
        <v>0.23499999999999999</v>
      </c>
      <c r="S157" s="41">
        <f t="shared" ca="1" si="60"/>
        <v>0.23</v>
      </c>
      <c r="T157" s="41">
        <f t="shared" ca="1" si="60"/>
        <v>0.22500000000000001</v>
      </c>
      <c r="U157" s="41">
        <f t="shared" ca="1" si="60"/>
        <v>0.22</v>
      </c>
      <c r="V157" s="41"/>
      <c r="W157" s="41"/>
      <c r="X157" s="41"/>
      <c r="Y157" s="41"/>
      <c r="Z157" s="42"/>
    </row>
    <row r="158" spans="1:32" s="38" customFormat="1" ht="14" outlineLevel="1" x14ac:dyDescent="0.2">
      <c r="B158" s="44"/>
      <c r="C158" s="45"/>
      <c r="D158" s="45"/>
      <c r="E158" s="45"/>
      <c r="F158" s="45"/>
      <c r="G158" s="56"/>
      <c r="H158" s="56"/>
      <c r="I158" s="56"/>
      <c r="J158" s="56"/>
      <c r="K158" s="78"/>
      <c r="L158" s="47"/>
      <c r="M158" s="185"/>
      <c r="N158" s="146"/>
      <c r="O158" s="45"/>
      <c r="P158" s="66"/>
      <c r="Q158" s="46"/>
      <c r="R158" s="46"/>
      <c r="S158" s="46"/>
      <c r="T158" s="46"/>
      <c r="U158" s="46"/>
      <c r="V158" s="46"/>
      <c r="W158" s="46"/>
      <c r="X158" s="46"/>
      <c r="Y158" s="46"/>
      <c r="Z158" s="48"/>
    </row>
    <row r="159" spans="1:32" s="3" customFormat="1" ht="14" outlineLevel="1" x14ac:dyDescent="0.2">
      <c r="B159" s="88" t="s">
        <v>16</v>
      </c>
      <c r="G159" s="36">
        <f t="shared" ref="G159:L159" si="61">G146-G156-G151</f>
        <v>338.14099999999996</v>
      </c>
      <c r="H159" s="36">
        <f t="shared" si="61"/>
        <v>767.0200000000001</v>
      </c>
      <c r="I159" s="36">
        <f t="shared" si="61"/>
        <v>715.87999999999988</v>
      </c>
      <c r="J159" s="36">
        <f t="shared" si="61"/>
        <v>412.46000000000004</v>
      </c>
      <c r="K159" s="77">
        <f t="shared" si="61"/>
        <v>697.25999999999931</v>
      </c>
      <c r="L159" s="32">
        <f t="shared" si="61"/>
        <v>210.99999999999977</v>
      </c>
      <c r="N159" s="33">
        <f>IFERROR((K159/G159)^(1/($K$141-$G$141))-1,"")</f>
        <v>0.19832392351285577</v>
      </c>
      <c r="P159" s="50"/>
      <c r="Q159" s="68">
        <f ca="1">Q146-Q156-Q151</f>
        <v>857.50680000000011</v>
      </c>
      <c r="R159" s="149">
        <f ca="1">R146-R156-R151</f>
        <v>986.13281999999958</v>
      </c>
      <c r="S159" s="149">
        <f ca="1">S146-S156-S151</f>
        <v>1217.8740327000003</v>
      </c>
      <c r="T159" s="149">
        <f ca="1">T146-T156-T151</f>
        <v>2137.6894205549997</v>
      </c>
      <c r="U159" s="149">
        <f ca="1">U146-U156-U151</f>
        <v>3745.6036368854989</v>
      </c>
      <c r="V159" s="34"/>
      <c r="W159" s="34"/>
      <c r="X159" s="34"/>
      <c r="Y159" s="34"/>
      <c r="Z159" s="43"/>
      <c r="AE159" s="36"/>
      <c r="AF159" s="36"/>
    </row>
    <row r="160" spans="1:32" s="38" customFormat="1" ht="14" outlineLevel="1" x14ac:dyDescent="0.2">
      <c r="B160" s="37" t="s">
        <v>12</v>
      </c>
      <c r="G160" s="39">
        <f t="shared" ref="G160:L160" si="62">G159/G142</f>
        <v>0.13839576963847924</v>
      </c>
      <c r="H160" s="39">
        <f t="shared" si="62"/>
        <v>0.25211349084263535</v>
      </c>
      <c r="I160" s="39">
        <f t="shared" si="62"/>
        <v>0.20694180665042072</v>
      </c>
      <c r="J160" s="39">
        <f t="shared" si="62"/>
        <v>0.11098524089496416</v>
      </c>
      <c r="K160" s="79">
        <f t="shared" si="62"/>
        <v>0.13732402687947551</v>
      </c>
      <c r="L160" s="40">
        <f t="shared" si="62"/>
        <v>4.0354198940463173E-2</v>
      </c>
      <c r="N160" s="33"/>
      <c r="P160" s="64"/>
      <c r="Q160" s="243">
        <f ca="1">Q159/Q142</f>
        <v>0.2</v>
      </c>
      <c r="R160" s="39">
        <f ca="1">R159/R142</f>
        <v>0.19999999999999993</v>
      </c>
      <c r="S160" s="39">
        <f ca="1">S159/S142</f>
        <v>0.19000000000000003</v>
      </c>
      <c r="T160" s="39">
        <f ca="1">T159/T142</f>
        <v>0.22999999999999998</v>
      </c>
      <c r="U160" s="39">
        <f ca="1">U159/U142</f>
        <v>0.25999999999999995</v>
      </c>
      <c r="V160" s="41"/>
      <c r="W160" s="41"/>
      <c r="X160" s="41"/>
      <c r="Y160" s="41"/>
      <c r="Z160" s="42"/>
    </row>
    <row r="161" spans="1:31" s="38" customFormat="1" ht="14" outlineLevel="1" x14ac:dyDescent="0.2">
      <c r="B161" s="37"/>
      <c r="G161" s="39"/>
      <c r="H161" s="39"/>
      <c r="I161" s="39"/>
      <c r="J161" s="39"/>
      <c r="K161" s="79"/>
      <c r="L161" s="40"/>
      <c r="N161" s="33"/>
      <c r="P161" s="64"/>
      <c r="Q161" s="41"/>
      <c r="R161" s="41"/>
      <c r="S161" s="41"/>
      <c r="T161" s="41"/>
      <c r="U161" s="41"/>
      <c r="V161" s="41"/>
      <c r="W161" s="41"/>
      <c r="X161" s="41"/>
      <c r="Y161" s="41"/>
      <c r="Z161" s="42"/>
    </row>
    <row r="162" spans="1:31" s="3" customFormat="1" ht="14" outlineLevel="1" x14ac:dyDescent="0.2">
      <c r="B162" s="23" t="s">
        <v>17</v>
      </c>
      <c r="G162" s="36">
        <f t="shared" ref="G162:L162" si="63">G155+G150</f>
        <v>299.39999999999998</v>
      </c>
      <c r="H162" s="36">
        <f t="shared" si="63"/>
        <v>313.7</v>
      </c>
      <c r="I162" s="36">
        <f t="shared" si="63"/>
        <v>349.5</v>
      </c>
      <c r="J162" s="36">
        <f t="shared" si="63"/>
        <v>385.8</v>
      </c>
      <c r="K162" s="77">
        <f t="shared" si="63"/>
        <v>424.3</v>
      </c>
      <c r="L162" s="32">
        <f t="shared" si="63"/>
        <v>492.1</v>
      </c>
      <c r="N162" s="33"/>
      <c r="P162" s="50"/>
      <c r="Q162" s="34">
        <f ca="1">Q165*Q142</f>
        <v>403.52200000000011</v>
      </c>
      <c r="R162" s="34">
        <f ca="1">R165*R142</f>
        <v>464.05030000000005</v>
      </c>
      <c r="S162" s="34">
        <f ca="1">S165*S142</f>
        <v>603.26539000000002</v>
      </c>
      <c r="T162" s="34">
        <f ca="1">T165*T142</f>
        <v>874.73481550000008</v>
      </c>
      <c r="U162" s="34">
        <f ca="1">U165*U142</f>
        <v>1355.838964025</v>
      </c>
      <c r="V162" s="34"/>
      <c r="W162" s="34"/>
      <c r="X162" s="34"/>
      <c r="Y162" s="34"/>
      <c r="Z162" s="43"/>
    </row>
    <row r="163" spans="1:31" s="3" customFormat="1" ht="14" outlineLevel="1" x14ac:dyDescent="0.2">
      <c r="B163" s="58" t="s">
        <v>115</v>
      </c>
      <c r="C163" s="10"/>
      <c r="D163" s="10"/>
      <c r="E163" s="10"/>
      <c r="F163" s="10"/>
      <c r="G163" s="59">
        <f>0</f>
        <v>0</v>
      </c>
      <c r="H163" s="59">
        <f>0</f>
        <v>0</v>
      </c>
      <c r="I163" s="59">
        <f>0</f>
        <v>0</v>
      </c>
      <c r="J163" s="59">
        <f>0</f>
        <v>0</v>
      </c>
      <c r="K163" s="159">
        <f>0</f>
        <v>0</v>
      </c>
      <c r="L163" s="159">
        <f>0</f>
        <v>0</v>
      </c>
      <c r="M163" s="10"/>
      <c r="N163" s="146"/>
      <c r="O163" s="10"/>
      <c r="P163" s="83"/>
      <c r="Q163" s="61">
        <f>$C$85/5</f>
        <v>62.5</v>
      </c>
      <c r="R163" s="61">
        <f t="shared" ref="R163:U163" si="64">$C$85/5</f>
        <v>62.5</v>
      </c>
      <c r="S163" s="61">
        <f t="shared" si="64"/>
        <v>62.5</v>
      </c>
      <c r="T163" s="61">
        <f>$C$85/5</f>
        <v>62.5</v>
      </c>
      <c r="U163" s="61">
        <f t="shared" si="64"/>
        <v>62.5</v>
      </c>
      <c r="V163" s="61"/>
      <c r="W163" s="61"/>
      <c r="X163" s="61"/>
      <c r="Y163" s="61"/>
      <c r="Z163" s="62"/>
    </row>
    <row r="164" spans="1:31" s="3" customFormat="1" ht="14" outlineLevel="1" x14ac:dyDescent="0.2">
      <c r="B164" s="23" t="s">
        <v>117</v>
      </c>
      <c r="G164" s="36">
        <f>G162+G163</f>
        <v>299.39999999999998</v>
      </c>
      <c r="H164" s="36">
        <f t="shared" ref="H164:L164" si="65">H162+H163</f>
        <v>313.7</v>
      </c>
      <c r="I164" s="36">
        <f t="shared" si="65"/>
        <v>349.5</v>
      </c>
      <c r="J164" s="36">
        <f t="shared" si="65"/>
        <v>385.8</v>
      </c>
      <c r="K164" s="77">
        <f t="shared" si="65"/>
        <v>424.3</v>
      </c>
      <c r="L164" s="77">
        <f t="shared" si="65"/>
        <v>492.1</v>
      </c>
      <c r="N164" s="33"/>
      <c r="O164" s="15"/>
      <c r="P164" s="69"/>
      <c r="Q164" s="34">
        <f ca="1">SUM(Q162:Q163)</f>
        <v>466.02200000000011</v>
      </c>
      <c r="R164" s="34">
        <f t="shared" ref="R164:U164" ca="1" si="66">SUM(R162:R163)</f>
        <v>526.55030000000011</v>
      </c>
      <c r="S164" s="34">
        <f t="shared" ca="1" si="66"/>
        <v>665.76539000000002</v>
      </c>
      <c r="T164" s="34">
        <f t="shared" ca="1" si="66"/>
        <v>937.23481550000008</v>
      </c>
      <c r="U164" s="34">
        <f t="shared" ca="1" si="66"/>
        <v>1418.338964025</v>
      </c>
      <c r="V164" s="34"/>
      <c r="W164" s="34"/>
      <c r="X164" s="34"/>
      <c r="Y164" s="34"/>
      <c r="Z164" s="43"/>
    </row>
    <row r="165" spans="1:31" s="3" customFormat="1" ht="14" outlineLevel="1" x14ac:dyDescent="0.2">
      <c r="B165" s="37" t="s">
        <v>12</v>
      </c>
      <c r="G165" s="71">
        <f t="shared" ref="G165:L165" si="67">G164/G142</f>
        <v>0.1225396903355721</v>
      </c>
      <c r="H165" s="71">
        <f t="shared" si="67"/>
        <v>0.10311074297584769</v>
      </c>
      <c r="I165" s="71">
        <f t="shared" si="67"/>
        <v>0.10103112452411306</v>
      </c>
      <c r="J165" s="71">
        <f t="shared" si="67"/>
        <v>0.1038115355119943</v>
      </c>
      <c r="K165" s="158">
        <f t="shared" si="67"/>
        <v>8.3565075588677859E-2</v>
      </c>
      <c r="L165" s="158">
        <f t="shared" si="67"/>
        <v>9.4115172031288857E-2</v>
      </c>
      <c r="N165" s="33"/>
      <c r="P165" s="50"/>
      <c r="Q165" s="177">
        <f>L165</f>
        <v>9.4115172031288857E-2</v>
      </c>
      <c r="R165" s="177">
        <f>Q165</f>
        <v>9.4115172031288857E-2</v>
      </c>
      <c r="S165" s="177">
        <f t="shared" ref="S165:U165" si="68">R165</f>
        <v>9.4115172031288857E-2</v>
      </c>
      <c r="T165" s="177">
        <f t="shared" si="68"/>
        <v>9.4115172031288857E-2</v>
      </c>
      <c r="U165" s="177">
        <f t="shared" si="68"/>
        <v>9.4115172031288857E-2</v>
      </c>
      <c r="V165" s="34"/>
      <c r="W165" s="34"/>
      <c r="X165" s="34"/>
      <c r="Y165" s="34"/>
      <c r="Z165" s="43"/>
    </row>
    <row r="166" spans="1:31" s="3" customFormat="1" ht="14" outlineLevel="1" x14ac:dyDescent="0.2">
      <c r="B166" s="37"/>
      <c r="G166" s="39"/>
      <c r="H166" s="39"/>
      <c r="I166" s="39"/>
      <c r="J166" s="39"/>
      <c r="K166" s="79"/>
      <c r="L166" s="79"/>
      <c r="N166" s="33"/>
      <c r="P166" s="64"/>
      <c r="Q166" s="41"/>
      <c r="R166" s="41"/>
      <c r="S166" s="41"/>
      <c r="T166" s="41"/>
      <c r="U166" s="41"/>
      <c r="V166" s="41"/>
      <c r="W166" s="41"/>
      <c r="X166" s="41"/>
      <c r="Y166" s="41"/>
      <c r="Z166" s="42"/>
    </row>
    <row r="167" spans="1:31" s="3" customFormat="1" ht="14" outlineLevel="1" x14ac:dyDescent="0.2">
      <c r="B167" s="88" t="s">
        <v>18</v>
      </c>
      <c r="G167" s="36">
        <f t="shared" ref="G167:L167" si="69">G159-G164</f>
        <v>38.740999999999985</v>
      </c>
      <c r="H167" s="36">
        <f t="shared" si="69"/>
        <v>453.32000000000011</v>
      </c>
      <c r="I167" s="36">
        <f t="shared" si="69"/>
        <v>366.37999999999988</v>
      </c>
      <c r="J167" s="36">
        <f t="shared" si="69"/>
        <v>26.660000000000025</v>
      </c>
      <c r="K167" s="77">
        <f t="shared" si="69"/>
        <v>272.9599999999993</v>
      </c>
      <c r="L167" s="77">
        <f t="shared" si="69"/>
        <v>-281.10000000000025</v>
      </c>
      <c r="N167" s="33">
        <f>IFERROR((K167/G167)^(1/($K$141-$G$141))-1,"")</f>
        <v>0.62922867676935179</v>
      </c>
      <c r="P167" s="50"/>
      <c r="Q167" s="49">
        <f ca="1">Q159-Q164</f>
        <v>391.48480000000001</v>
      </c>
      <c r="R167" s="36">
        <f t="shared" ref="R167:U167" ca="1" si="70">R159-R164</f>
        <v>459.58251999999948</v>
      </c>
      <c r="S167" s="36">
        <f t="shared" ca="1" si="70"/>
        <v>552.10864270000025</v>
      </c>
      <c r="T167" s="36">
        <f t="shared" ca="1" si="70"/>
        <v>1200.4546050549998</v>
      </c>
      <c r="U167" s="36">
        <f t="shared" ca="1" si="70"/>
        <v>2327.2646728604986</v>
      </c>
      <c r="V167" s="34"/>
      <c r="W167" s="34"/>
      <c r="X167" s="34"/>
      <c r="Y167" s="34"/>
      <c r="Z167" s="43"/>
      <c r="AE167" s="36"/>
    </row>
    <row r="168" spans="1:31" s="38" customFormat="1" ht="14" outlineLevel="1" x14ac:dyDescent="0.2">
      <c r="B168" s="37" t="s">
        <v>12</v>
      </c>
      <c r="G168" s="39">
        <f t="shared" ref="G168:L168" si="71">G167/G142</f>
        <v>1.5856079302907139E-2</v>
      </c>
      <c r="H168" s="39">
        <f t="shared" si="71"/>
        <v>0.14900274786678766</v>
      </c>
      <c r="I168" s="39">
        <f t="shared" si="71"/>
        <v>0.10591068212630766</v>
      </c>
      <c r="J168" s="39">
        <f t="shared" si="71"/>
        <v>7.1737053829698562E-3</v>
      </c>
      <c r="K168" s="79">
        <f t="shared" si="71"/>
        <v>5.3758951290797663E-2</v>
      </c>
      <c r="L168" s="40">
        <f t="shared" si="71"/>
        <v>-5.3760973090825684E-2</v>
      </c>
      <c r="N168" s="33"/>
      <c r="P168" s="64"/>
      <c r="Q168" s="41"/>
      <c r="R168" s="41"/>
      <c r="S168" s="41"/>
      <c r="T168" s="41"/>
      <c r="U168" s="41"/>
      <c r="V168" s="41"/>
      <c r="W168" s="41"/>
      <c r="X168" s="41"/>
      <c r="Y168" s="41"/>
      <c r="Z168" s="42"/>
    </row>
    <row r="169" spans="1:31" s="38" customFormat="1" ht="14" outlineLevel="1" x14ac:dyDescent="0.2">
      <c r="B169" s="37"/>
      <c r="G169" s="39"/>
      <c r="H169" s="39"/>
      <c r="I169" s="39"/>
      <c r="J169" s="39"/>
      <c r="K169" s="79"/>
      <c r="L169" s="40"/>
      <c r="N169" s="33"/>
      <c r="P169" s="57"/>
      <c r="Q169" s="41"/>
      <c r="R169" s="41"/>
      <c r="S169" s="41"/>
      <c r="T169" s="41"/>
      <c r="U169" s="41"/>
      <c r="V169" s="41"/>
      <c r="W169" s="41"/>
      <c r="X169" s="41"/>
      <c r="Y169" s="41"/>
      <c r="Z169" s="42"/>
    </row>
    <row r="170" spans="1:31" s="3" customFormat="1" ht="14" outlineLevel="1" x14ac:dyDescent="0.2">
      <c r="B170" s="23"/>
      <c r="G170" s="82"/>
      <c r="K170" s="155"/>
      <c r="L170" s="155"/>
      <c r="N170" s="33"/>
      <c r="P170" s="50"/>
      <c r="Q170" s="34"/>
      <c r="R170" s="34"/>
      <c r="S170" s="34"/>
      <c r="T170" s="34"/>
      <c r="U170" s="34"/>
      <c r="V170" s="34"/>
      <c r="W170" s="34"/>
      <c r="X170" s="34"/>
      <c r="Y170" s="34"/>
      <c r="Z170" s="43"/>
    </row>
    <row r="171" spans="1:31" s="3" customFormat="1" ht="14" outlineLevel="1" x14ac:dyDescent="0.2">
      <c r="A171" s="65"/>
      <c r="B171" s="3" t="s">
        <v>26</v>
      </c>
      <c r="G171" s="82">
        <v>-105.2</v>
      </c>
      <c r="H171" s="82">
        <v>-132.6</v>
      </c>
      <c r="I171" s="82">
        <v>-138.19999999999999</v>
      </c>
      <c r="J171" s="82">
        <v>-152.9</v>
      </c>
      <c r="K171" s="160">
        <v>-51.2</v>
      </c>
      <c r="L171" s="160">
        <v>-62.9</v>
      </c>
      <c r="N171" s="33"/>
      <c r="P171" s="50"/>
      <c r="Q171" s="34">
        <f ca="1">Q342</f>
        <v>-1465.4894677198515</v>
      </c>
      <c r="R171" s="34">
        <f t="shared" ref="R171:U171" ca="1" si="72">R342</f>
        <v>-1341.6552738352448</v>
      </c>
      <c r="S171" s="34">
        <f t="shared" ca="1" si="72"/>
        <v>-1339.9118934398407</v>
      </c>
      <c r="T171" s="34">
        <f t="shared" ca="1" si="72"/>
        <v>-1408.7662928519685</v>
      </c>
      <c r="U171" s="34">
        <f t="shared" ca="1" si="72"/>
        <v>-1488.9106285512962</v>
      </c>
      <c r="V171" s="34"/>
      <c r="W171" s="34"/>
      <c r="X171" s="34"/>
      <c r="Y171" s="34"/>
      <c r="Z171" s="43"/>
    </row>
    <row r="172" spans="1:31" s="3" customFormat="1" ht="14" outlineLevel="1" x14ac:dyDescent="0.2">
      <c r="A172" s="65"/>
      <c r="B172" s="58" t="s">
        <v>27</v>
      </c>
      <c r="C172" s="10"/>
      <c r="D172" s="10"/>
      <c r="E172" s="10"/>
      <c r="F172" s="10"/>
      <c r="G172" s="59">
        <v>44.4</v>
      </c>
      <c r="H172" s="59">
        <v>111.2</v>
      </c>
      <c r="I172" s="59">
        <v>157.69999999999999</v>
      </c>
      <c r="J172" s="59">
        <v>88.2</v>
      </c>
      <c r="K172" s="159">
        <v>35.700000000000003</v>
      </c>
      <c r="L172" s="159">
        <v>37</v>
      </c>
      <c r="M172" s="10"/>
      <c r="N172" s="146"/>
      <c r="O172" s="10"/>
      <c r="P172" s="50"/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/>
      <c r="W172" s="61"/>
      <c r="X172" s="61"/>
      <c r="Y172" s="61"/>
      <c r="Z172" s="62"/>
    </row>
    <row r="173" spans="1:31" s="3" customFormat="1" ht="14" outlineLevel="1" x14ac:dyDescent="0.2">
      <c r="A173" s="65"/>
      <c r="B173" s="3" t="s">
        <v>19</v>
      </c>
      <c r="G173" s="36">
        <f>SUM(G171:G172)</f>
        <v>-60.800000000000004</v>
      </c>
      <c r="H173" s="36">
        <f t="shared" ref="H173:L173" si="73">SUM(H171:H172)</f>
        <v>-21.399999999999991</v>
      </c>
      <c r="I173" s="36">
        <f t="shared" si="73"/>
        <v>19.5</v>
      </c>
      <c r="J173" s="36">
        <f t="shared" si="73"/>
        <v>-64.7</v>
      </c>
      <c r="K173" s="77">
        <f t="shared" si="73"/>
        <v>-15.5</v>
      </c>
      <c r="L173" s="77">
        <f t="shared" si="73"/>
        <v>-25.9</v>
      </c>
      <c r="N173" s="33"/>
      <c r="O173" s="15"/>
      <c r="P173" s="69"/>
      <c r="Q173" s="36">
        <f ca="1">SUM(Q171:Q172)</f>
        <v>-1465.4894677198515</v>
      </c>
      <c r="R173" s="36">
        <f t="shared" ref="R173:U173" ca="1" si="74">SUM(R171:R172)</f>
        <v>-1341.6552738352448</v>
      </c>
      <c r="S173" s="36">
        <f t="shared" ca="1" si="74"/>
        <v>-1339.9118934398407</v>
      </c>
      <c r="T173" s="36">
        <f t="shared" ca="1" si="74"/>
        <v>-1408.7662928519685</v>
      </c>
      <c r="U173" s="36">
        <f t="shared" ca="1" si="74"/>
        <v>-1488.9106285512962</v>
      </c>
      <c r="V173" s="36"/>
      <c r="W173" s="36"/>
      <c r="X173" s="36"/>
      <c r="Y173" s="36"/>
      <c r="Z173" s="50"/>
    </row>
    <row r="174" spans="1:31" s="38" customFormat="1" ht="14" outlineLevel="1" x14ac:dyDescent="0.2">
      <c r="A174" s="96"/>
      <c r="B174" s="38" t="s">
        <v>12</v>
      </c>
      <c r="G174" s="39">
        <f t="shared" ref="G174:L174" si="75">G173/G142</f>
        <v>-2.4884479533743439E-2</v>
      </c>
      <c r="H174" s="39">
        <f t="shared" si="75"/>
        <v>-7.0340130688018483E-3</v>
      </c>
      <c r="I174" s="39">
        <f t="shared" si="75"/>
        <v>5.6369296944784103E-3</v>
      </c>
      <c r="J174" s="39">
        <f t="shared" si="75"/>
        <v>-1.7409555074199147E-2</v>
      </c>
      <c r="K174" s="79">
        <f t="shared" si="75"/>
        <v>-3.0526954315920497E-3</v>
      </c>
      <c r="L174" s="79">
        <f t="shared" si="75"/>
        <v>-4.9534301069099392E-3</v>
      </c>
      <c r="N174" s="33"/>
      <c r="P174" s="64"/>
      <c r="Q174" s="39"/>
      <c r="R174" s="39"/>
      <c r="S174" s="39"/>
      <c r="T174" s="39"/>
      <c r="U174" s="39"/>
      <c r="V174" s="39"/>
      <c r="W174" s="39"/>
      <c r="X174" s="39"/>
      <c r="Y174" s="39"/>
      <c r="Z174" s="64"/>
    </row>
    <row r="175" spans="1:31" s="3" customFormat="1" ht="14" outlineLevel="1" x14ac:dyDescent="0.2">
      <c r="A175" s="65"/>
      <c r="C175" s="38"/>
      <c r="D175" s="38"/>
      <c r="E175" s="38"/>
      <c r="F175" s="38"/>
      <c r="G175" s="39"/>
      <c r="H175" s="39"/>
      <c r="I175" s="39"/>
      <c r="J175" s="39"/>
      <c r="K175" s="79"/>
      <c r="L175" s="155"/>
      <c r="N175" s="33"/>
      <c r="P175" s="50"/>
      <c r="Z175" s="65"/>
    </row>
    <row r="176" spans="1:31" s="3" customFormat="1" ht="14" outlineLevel="1" x14ac:dyDescent="0.2">
      <c r="A176" s="65"/>
      <c r="B176" s="3" t="s">
        <v>118</v>
      </c>
      <c r="G176" s="82">
        <v>8.3000000000000007</v>
      </c>
      <c r="H176" s="82">
        <v>-11.6</v>
      </c>
      <c r="I176" s="82">
        <v>-7.2</v>
      </c>
      <c r="J176" s="82">
        <v>-8.1</v>
      </c>
      <c r="K176" s="160">
        <v>4</v>
      </c>
      <c r="L176" s="77">
        <v>6.7</v>
      </c>
      <c r="N176" s="33"/>
      <c r="P176" s="50"/>
      <c r="Q176" s="34"/>
      <c r="R176" s="34"/>
      <c r="S176" s="34"/>
      <c r="T176" s="34"/>
      <c r="U176" s="34"/>
      <c r="V176" s="34"/>
      <c r="W176" s="34"/>
      <c r="X176" s="34"/>
      <c r="Y176" s="34"/>
      <c r="Z176" s="43"/>
    </row>
    <row r="177" spans="1:27" s="3" customFormat="1" ht="14" outlineLevel="1" x14ac:dyDescent="0.2">
      <c r="A177" s="65"/>
      <c r="B177" s="3" t="s">
        <v>119</v>
      </c>
      <c r="C177" s="38"/>
      <c r="D177" s="38"/>
      <c r="E177" s="38"/>
      <c r="F177" s="38"/>
      <c r="G177" s="82">
        <v>-19.2</v>
      </c>
      <c r="H177" s="82">
        <v>6.2</v>
      </c>
      <c r="I177" s="82">
        <v>2.8</v>
      </c>
      <c r="J177" s="82">
        <v>4</v>
      </c>
      <c r="K177" s="160">
        <v>-8.5</v>
      </c>
      <c r="L177" s="160">
        <v>-26.5</v>
      </c>
      <c r="N177" s="33"/>
      <c r="P177" s="50"/>
      <c r="Q177" s="34"/>
      <c r="R177" s="34"/>
      <c r="S177" s="34"/>
      <c r="T177" s="34"/>
      <c r="U177" s="34"/>
      <c r="V177" s="34"/>
      <c r="W177" s="34"/>
      <c r="X177" s="34"/>
      <c r="Y177" s="34"/>
      <c r="Z177" s="43"/>
    </row>
    <row r="178" spans="1:27" s="3" customFormat="1" ht="14" outlineLevel="1" x14ac:dyDescent="0.2">
      <c r="A178" s="65"/>
      <c r="C178" s="38"/>
      <c r="D178" s="38"/>
      <c r="E178" s="38"/>
      <c r="F178" s="38"/>
      <c r="G178" s="82"/>
      <c r="H178" s="82"/>
      <c r="I178" s="82"/>
      <c r="J178" s="82"/>
      <c r="K178" s="160"/>
      <c r="L178" s="160"/>
      <c r="N178" s="33"/>
      <c r="P178" s="50"/>
      <c r="Q178" s="34"/>
      <c r="R178" s="34"/>
      <c r="S178" s="34"/>
      <c r="T178" s="34"/>
      <c r="U178" s="34"/>
      <c r="V178" s="34"/>
      <c r="W178" s="34"/>
      <c r="X178" s="34"/>
      <c r="Y178" s="34"/>
      <c r="Z178" s="43"/>
    </row>
    <row r="179" spans="1:27" s="3" customFormat="1" ht="14" outlineLevel="1" x14ac:dyDescent="0.2">
      <c r="A179" s="65"/>
      <c r="B179" s="3" t="s">
        <v>121</v>
      </c>
      <c r="C179" s="38"/>
      <c r="D179" s="38"/>
      <c r="E179" s="38"/>
      <c r="F179" s="38"/>
      <c r="G179" s="82">
        <v>0</v>
      </c>
      <c r="H179" s="82">
        <v>0</v>
      </c>
      <c r="I179" s="82">
        <v>0</v>
      </c>
      <c r="J179" s="82">
        <v>0</v>
      </c>
      <c r="K179" s="160">
        <v>0</v>
      </c>
      <c r="L179" s="160">
        <v>0</v>
      </c>
      <c r="N179" s="33"/>
      <c r="P179" s="50"/>
      <c r="Q179" s="82">
        <v>0</v>
      </c>
      <c r="R179" s="82">
        <v>0</v>
      </c>
      <c r="S179" s="82">
        <v>0</v>
      </c>
      <c r="T179" s="82">
        <v>0</v>
      </c>
      <c r="U179" s="82">
        <v>0</v>
      </c>
      <c r="V179" s="34"/>
      <c r="W179" s="34"/>
      <c r="X179" s="34"/>
      <c r="Y179" s="34"/>
      <c r="Z179" s="43"/>
    </row>
    <row r="180" spans="1:27" s="3" customFormat="1" ht="14" outlineLevel="1" x14ac:dyDescent="0.2">
      <c r="A180" s="65"/>
      <c r="B180" s="3" t="s">
        <v>122</v>
      </c>
      <c r="C180" s="38"/>
      <c r="D180" s="38"/>
      <c r="E180" s="38"/>
      <c r="F180" s="38"/>
      <c r="G180" s="82">
        <v>-62.4</v>
      </c>
      <c r="H180" s="82">
        <v>-3</v>
      </c>
      <c r="I180" s="82">
        <v>8.6999999999999993</v>
      </c>
      <c r="J180" s="82">
        <v>-8.8000000000000007</v>
      </c>
      <c r="K180" s="160">
        <v>101.6</v>
      </c>
      <c r="L180" s="160">
        <v>72.3</v>
      </c>
      <c r="N180" s="33"/>
      <c r="P180" s="50"/>
      <c r="Q180" s="82">
        <v>0</v>
      </c>
      <c r="R180" s="82">
        <v>0</v>
      </c>
      <c r="S180" s="82">
        <v>0</v>
      </c>
      <c r="T180" s="82">
        <v>0</v>
      </c>
      <c r="U180" s="82">
        <v>0</v>
      </c>
      <c r="V180" s="34"/>
      <c r="W180" s="34"/>
      <c r="X180" s="34"/>
      <c r="Y180" s="34"/>
      <c r="Z180" s="43"/>
    </row>
    <row r="181" spans="1:27" s="3" customFormat="1" ht="14" outlineLevel="1" x14ac:dyDescent="0.2">
      <c r="A181" s="65"/>
      <c r="B181" s="3" t="s">
        <v>123</v>
      </c>
      <c r="C181" s="38"/>
      <c r="D181" s="38"/>
      <c r="E181" s="38"/>
      <c r="F181" s="38"/>
      <c r="G181" s="82">
        <v>0</v>
      </c>
      <c r="H181" s="82">
        <v>0</v>
      </c>
      <c r="I181" s="82">
        <v>0</v>
      </c>
      <c r="J181" s="82">
        <v>0</v>
      </c>
      <c r="K181" s="160">
        <v>0</v>
      </c>
      <c r="L181" s="160">
        <v>970.6</v>
      </c>
      <c r="N181" s="33"/>
      <c r="P181" s="50"/>
      <c r="Q181" s="82">
        <v>0</v>
      </c>
      <c r="R181" s="82">
        <v>0</v>
      </c>
      <c r="S181" s="82">
        <v>0</v>
      </c>
      <c r="T181" s="82">
        <v>0</v>
      </c>
      <c r="U181" s="82">
        <v>0</v>
      </c>
      <c r="V181" s="34"/>
      <c r="W181" s="34"/>
      <c r="X181" s="34"/>
      <c r="Y181" s="34"/>
      <c r="Z181" s="43"/>
    </row>
    <row r="182" spans="1:27" s="3" customFormat="1" ht="14" outlineLevel="1" x14ac:dyDescent="0.2">
      <c r="A182" s="65"/>
      <c r="B182" s="3" t="s">
        <v>124</v>
      </c>
      <c r="C182" s="38"/>
      <c r="D182" s="38"/>
      <c r="E182" s="38"/>
      <c r="F182" s="38"/>
      <c r="G182" s="82">
        <v>0</v>
      </c>
      <c r="H182" s="82">
        <v>0</v>
      </c>
      <c r="I182" s="82">
        <v>0</v>
      </c>
      <c r="J182" s="82">
        <v>0</v>
      </c>
      <c r="K182" s="160">
        <v>-765.7</v>
      </c>
      <c r="L182" s="160">
        <v>-765.7</v>
      </c>
      <c r="N182" s="33"/>
      <c r="P182" s="50"/>
      <c r="Q182" s="82">
        <v>0</v>
      </c>
      <c r="R182" s="82">
        <v>0</v>
      </c>
      <c r="S182" s="82">
        <v>0</v>
      </c>
      <c r="T182" s="82">
        <v>0</v>
      </c>
      <c r="U182" s="82">
        <v>0</v>
      </c>
      <c r="V182" s="34"/>
      <c r="W182" s="34"/>
      <c r="X182" s="34"/>
      <c r="Y182" s="34"/>
      <c r="Z182" s="43"/>
    </row>
    <row r="183" spans="1:27" s="3" customFormat="1" ht="14" outlineLevel="1" x14ac:dyDescent="0.2">
      <c r="A183" s="65"/>
      <c r="B183" s="3" t="s">
        <v>125</v>
      </c>
      <c r="C183" s="38"/>
      <c r="D183" s="38"/>
      <c r="E183" s="38"/>
      <c r="F183" s="38"/>
      <c r="G183" s="82">
        <v>0</v>
      </c>
      <c r="H183" s="82">
        <v>0</v>
      </c>
      <c r="I183" s="82">
        <v>0</v>
      </c>
      <c r="J183" s="82">
        <v>0</v>
      </c>
      <c r="K183" s="160">
        <v>0</v>
      </c>
      <c r="L183" s="160">
        <v>0</v>
      </c>
      <c r="N183" s="33"/>
      <c r="P183" s="50"/>
      <c r="Q183" s="82">
        <v>0</v>
      </c>
      <c r="R183" s="82">
        <v>0</v>
      </c>
      <c r="S183" s="82">
        <v>0</v>
      </c>
      <c r="T183" s="82">
        <v>0</v>
      </c>
      <c r="U183" s="82">
        <v>0</v>
      </c>
      <c r="V183" s="34"/>
      <c r="W183" s="34"/>
      <c r="X183" s="34"/>
      <c r="Y183" s="34"/>
      <c r="Z183" s="43"/>
    </row>
    <row r="184" spans="1:27" s="3" customFormat="1" ht="14" outlineLevel="1" x14ac:dyDescent="0.2">
      <c r="A184" s="65"/>
      <c r="B184" s="58" t="s">
        <v>126</v>
      </c>
      <c r="C184" s="45"/>
      <c r="D184" s="45"/>
      <c r="E184" s="45"/>
      <c r="F184" s="45"/>
      <c r="G184" s="165">
        <f>SUM(G179:G183)</f>
        <v>-62.4</v>
      </c>
      <c r="H184" s="165">
        <f t="shared" ref="H184:L184" si="76">SUM(H179:H183)</f>
        <v>-3</v>
      </c>
      <c r="I184" s="165">
        <f t="shared" si="76"/>
        <v>8.6999999999999993</v>
      </c>
      <c r="J184" s="165">
        <f t="shared" si="76"/>
        <v>-8.8000000000000007</v>
      </c>
      <c r="K184" s="166">
        <f t="shared" si="76"/>
        <v>-664.1</v>
      </c>
      <c r="L184" s="166">
        <f t="shared" si="76"/>
        <v>277.20000000000005</v>
      </c>
      <c r="M184" s="26"/>
      <c r="N184" s="146"/>
      <c r="O184" s="10"/>
      <c r="P184" s="83"/>
      <c r="Q184" s="164">
        <v>0</v>
      </c>
      <c r="R184" s="164">
        <v>0</v>
      </c>
      <c r="S184" s="164">
        <v>0</v>
      </c>
      <c r="T184" s="164">
        <v>0</v>
      </c>
      <c r="U184" s="164">
        <v>0</v>
      </c>
      <c r="V184" s="61"/>
      <c r="W184" s="61"/>
      <c r="X184" s="61"/>
      <c r="Y184" s="61"/>
      <c r="Z184" s="62"/>
    </row>
    <row r="185" spans="1:27" s="38" customFormat="1" ht="14" outlineLevel="1" x14ac:dyDescent="0.2">
      <c r="A185" s="252"/>
      <c r="B185" s="23" t="s">
        <v>120</v>
      </c>
      <c r="G185" s="168">
        <f>G167+G173+G176+G177+G184</f>
        <v>-95.359000000000009</v>
      </c>
      <c r="H185" s="168">
        <f t="shared" ref="H185:L185" si="77">H167+H173+H176+H177+H184</f>
        <v>423.5200000000001</v>
      </c>
      <c r="I185" s="168">
        <f t="shared" si="77"/>
        <v>390.17999999999989</v>
      </c>
      <c r="J185" s="168">
        <f t="shared" si="77"/>
        <v>-50.939999999999984</v>
      </c>
      <c r="K185" s="169">
        <f t="shared" si="77"/>
        <v>-411.14000000000073</v>
      </c>
      <c r="L185" s="169">
        <f t="shared" si="77"/>
        <v>-49.600000000000193</v>
      </c>
      <c r="N185" s="33"/>
      <c r="O185" s="121"/>
      <c r="P185" s="202"/>
      <c r="Q185" s="150">
        <f t="shared" ref="Q185" ca="1" si="78">Q167+Q173+Q176+Q177+Q184</f>
        <v>-1074.0046677198516</v>
      </c>
      <c r="R185" s="150">
        <f t="shared" ref="R185" ca="1" si="79">R167+R173+R176+R177+R184</f>
        <v>-882.07275383524529</v>
      </c>
      <c r="S185" s="150">
        <f t="shared" ref="S185" ca="1" si="80">S167+S173+S176+S177+S184</f>
        <v>-787.80325073984045</v>
      </c>
      <c r="T185" s="150">
        <f t="shared" ref="T185" ca="1" si="81">T167+T173+T176+T177+T184</f>
        <v>-208.31168779696873</v>
      </c>
      <c r="U185" s="150">
        <f t="shared" ref="U185" ca="1" si="82">U167+U173+U176+U177+U184</f>
        <v>838.35404430920244</v>
      </c>
      <c r="V185" s="39"/>
      <c r="W185" s="39"/>
      <c r="X185" s="39"/>
      <c r="Y185" s="39"/>
      <c r="Z185" s="64"/>
    </row>
    <row r="186" spans="1:27" s="3" customFormat="1" ht="14" outlineLevel="1" x14ac:dyDescent="0.2">
      <c r="A186" s="253"/>
      <c r="B186" s="3" t="s">
        <v>127</v>
      </c>
      <c r="G186" s="82">
        <v>-12.6</v>
      </c>
      <c r="H186" s="82">
        <v>782.1</v>
      </c>
      <c r="I186" s="82">
        <v>1075.5</v>
      </c>
      <c r="J186" s="82">
        <v>-1084.7</v>
      </c>
      <c r="K186" s="160">
        <v>189.7</v>
      </c>
      <c r="L186" s="160">
        <v>-62.1</v>
      </c>
      <c r="N186" s="33"/>
      <c r="P186" s="50"/>
      <c r="Q186" s="82">
        <f ca="1">-Q185*Q187</f>
        <v>279.2412136071614</v>
      </c>
      <c r="R186" s="82">
        <f ca="1">-R185*R187</f>
        <v>229.33891599716378</v>
      </c>
      <c r="S186" s="82">
        <f t="shared" ref="S186:U186" ca="1" si="83">-S185*S187</f>
        <v>204.82884519235853</v>
      </c>
      <c r="T186" s="82">
        <f t="shared" ca="1" si="83"/>
        <v>54.161038827211868</v>
      </c>
      <c r="U186" s="82">
        <f t="shared" ca="1" si="83"/>
        <v>-217.97205152039265</v>
      </c>
      <c r="V186" s="36"/>
      <c r="W186" s="36"/>
      <c r="X186" s="36"/>
      <c r="Y186" s="36"/>
      <c r="Z186" s="50"/>
    </row>
    <row r="187" spans="1:27" s="3" customFormat="1" ht="14" outlineLevel="1" x14ac:dyDescent="0.2">
      <c r="A187" s="65"/>
      <c r="B187" s="3" t="s">
        <v>166</v>
      </c>
      <c r="C187" s="38"/>
      <c r="D187" s="38"/>
      <c r="E187" s="38"/>
      <c r="F187" s="38"/>
      <c r="G187" s="137">
        <f>-G186/G185</f>
        <v>-0.13213225809834414</v>
      </c>
      <c r="H187" s="137">
        <f t="shared" ref="H187:J187" si="84">-H186/H185</f>
        <v>-1.8466660370230445</v>
      </c>
      <c r="I187" s="137">
        <f t="shared" si="84"/>
        <v>-2.7564201137936344</v>
      </c>
      <c r="J187" s="137">
        <f t="shared" si="84"/>
        <v>-21.293678837848457</v>
      </c>
      <c r="K187" s="137">
        <f>-K186/K185</f>
        <v>0.46140000972904521</v>
      </c>
      <c r="L187" s="178">
        <f>-L186/L185</f>
        <v>-1.2520161290322531</v>
      </c>
      <c r="N187" s="33"/>
      <c r="P187" s="64"/>
      <c r="Q187" s="71">
        <f>26%</f>
        <v>0.26</v>
      </c>
      <c r="R187" s="71">
        <f>26%</f>
        <v>0.26</v>
      </c>
      <c r="S187" s="71">
        <f>26%</f>
        <v>0.26</v>
      </c>
      <c r="T187" s="71">
        <f>26%</f>
        <v>0.26</v>
      </c>
      <c r="U187" s="71">
        <f>26%</f>
        <v>0.26</v>
      </c>
      <c r="V187" s="39"/>
      <c r="W187" s="39"/>
      <c r="X187" s="39"/>
      <c r="Y187" s="39"/>
      <c r="Z187" s="64"/>
    </row>
    <row r="188" spans="1:27" s="3" customFormat="1" ht="14" outlineLevel="1" x14ac:dyDescent="0.2">
      <c r="A188" s="65"/>
      <c r="B188" s="38"/>
      <c r="C188" s="38"/>
      <c r="D188" s="38"/>
      <c r="E188" s="38"/>
      <c r="F188" s="38"/>
      <c r="G188" s="82"/>
      <c r="H188" s="82"/>
      <c r="I188" s="39"/>
      <c r="J188" s="39"/>
      <c r="K188" s="79"/>
      <c r="L188" s="158"/>
      <c r="N188" s="33"/>
      <c r="P188" s="64"/>
      <c r="Q188" s="39"/>
      <c r="R188" s="39"/>
      <c r="S188" s="39"/>
      <c r="T188" s="39"/>
      <c r="U188" s="39"/>
      <c r="V188" s="39"/>
      <c r="W188" s="39"/>
      <c r="X188" s="39"/>
      <c r="Y188" s="39"/>
      <c r="Z188" s="64"/>
    </row>
    <row r="189" spans="1:27" s="3" customFormat="1" ht="14" outlineLevel="1" x14ac:dyDescent="0.2">
      <c r="A189" s="65"/>
      <c r="B189" s="89" t="s">
        <v>65</v>
      </c>
      <c r="G189" s="36">
        <f>SUM(G185,G186)</f>
        <v>-107.959</v>
      </c>
      <c r="H189" s="36">
        <f t="shared" ref="H189:L189" si="85">SUM(H185,H186)</f>
        <v>1205.6200000000001</v>
      </c>
      <c r="I189" s="36">
        <f t="shared" si="85"/>
        <v>1465.6799999999998</v>
      </c>
      <c r="J189" s="36">
        <f t="shared" si="85"/>
        <v>-1135.6400000000001</v>
      </c>
      <c r="K189" s="77">
        <f t="shared" si="85"/>
        <v>-221.44000000000074</v>
      </c>
      <c r="L189" s="77">
        <f t="shared" si="85"/>
        <v>-111.70000000000019</v>
      </c>
      <c r="N189" s="33">
        <f>IFERROR((K189/G189)^(1/($K$141-$G$141))-1,"")</f>
        <v>0.1967386159250013</v>
      </c>
      <c r="P189" s="50"/>
      <c r="Q189" s="49">
        <f t="shared" ref="Q189:U189" ca="1" si="86">SUM(Q185,Q186)</f>
        <v>-794.76345411269017</v>
      </c>
      <c r="R189" s="36">
        <f t="shared" ca="1" si="86"/>
        <v>-652.73383783808151</v>
      </c>
      <c r="S189" s="36">
        <f t="shared" ca="1" si="86"/>
        <v>-582.97440554748187</v>
      </c>
      <c r="T189" s="36">
        <f t="shared" ca="1" si="86"/>
        <v>-154.15064896975684</v>
      </c>
      <c r="U189" s="36">
        <f t="shared" ca="1" si="86"/>
        <v>620.38199278880984</v>
      </c>
      <c r="V189" s="36"/>
      <c r="W189" s="36"/>
      <c r="X189" s="36"/>
      <c r="Y189" s="36"/>
      <c r="Z189" s="50"/>
    </row>
    <row r="190" spans="1:27" s="38" customFormat="1" ht="14" outlineLevel="1" x14ac:dyDescent="0.2">
      <c r="B190" s="44" t="s">
        <v>12</v>
      </c>
      <c r="C190" s="45"/>
      <c r="D190" s="45"/>
      <c r="E190" s="45"/>
      <c r="F190" s="45"/>
      <c r="G190" s="56">
        <f t="shared" ref="G190:L190" si="87">G189/G142</f>
        <v>-4.4185913256306046E-2</v>
      </c>
      <c r="H190" s="56">
        <f t="shared" si="87"/>
        <v>0.39627788953312565</v>
      </c>
      <c r="I190" s="56">
        <f t="shared" si="87"/>
        <v>0.42368898023605722</v>
      </c>
      <c r="J190" s="56">
        <f t="shared" si="87"/>
        <v>-0.30557939914163096</v>
      </c>
      <c r="K190" s="78">
        <f t="shared" si="87"/>
        <v>-4.3612185572370697E-2</v>
      </c>
      <c r="L190" s="78">
        <f t="shared" si="87"/>
        <v>-2.136286266184715E-2</v>
      </c>
      <c r="M190" s="185"/>
      <c r="N190" s="56"/>
      <c r="O190" s="45"/>
      <c r="P190" s="66"/>
      <c r="Q190" s="247">
        <f ca="1">Q189/Q142</f>
        <v>-0.18536609951377414</v>
      </c>
      <c r="R190" s="56">
        <f ca="1">R189/R142</f>
        <v>-0.13238254007975955</v>
      </c>
      <c r="S190" s="56">
        <f ca="1">S189/S142</f>
        <v>-9.0949584341212752E-2</v>
      </c>
      <c r="T190" s="56">
        <f ca="1">T189/T142</f>
        <v>-1.658550064482198E-2</v>
      </c>
      <c r="U190" s="56">
        <f ca="1">U189/U142</f>
        <v>4.306363773696361E-2</v>
      </c>
      <c r="V190" s="56"/>
      <c r="W190" s="56"/>
      <c r="X190" s="56"/>
      <c r="Y190" s="56"/>
      <c r="Z190" s="66"/>
    </row>
    <row r="191" spans="1:27" s="38" customFormat="1" ht="14" outlineLevel="1" x14ac:dyDescent="0.2">
      <c r="B191" s="37"/>
      <c r="G191" s="39"/>
      <c r="H191" s="39"/>
      <c r="I191" s="39"/>
      <c r="J191" s="39"/>
      <c r="K191" s="39"/>
      <c r="L191" s="167"/>
      <c r="N191" s="39"/>
      <c r="P191" s="122"/>
      <c r="Q191" s="39"/>
      <c r="R191" s="39"/>
      <c r="S191" s="39"/>
      <c r="T191" s="39"/>
      <c r="U191" s="39"/>
      <c r="V191" s="39"/>
      <c r="W191" s="39"/>
      <c r="X191" s="39"/>
      <c r="Y191" s="39"/>
      <c r="Z191" s="64"/>
    </row>
    <row r="192" spans="1:27" s="3" customFormat="1" ht="14" outlineLevel="1" x14ac:dyDescent="0.2">
      <c r="B192" s="58"/>
      <c r="C192" s="10"/>
      <c r="D192" s="10"/>
      <c r="E192" s="10"/>
      <c r="F192" s="10"/>
      <c r="G192" s="59"/>
      <c r="H192" s="59"/>
      <c r="I192" s="59"/>
      <c r="J192" s="59"/>
      <c r="K192" s="59"/>
      <c r="L192" s="59"/>
      <c r="M192" s="10"/>
      <c r="N192" s="10"/>
      <c r="O192" s="10"/>
      <c r="P192" s="61"/>
      <c r="Q192" s="61"/>
      <c r="R192" s="76"/>
      <c r="S192" s="76"/>
      <c r="T192" s="76"/>
      <c r="U192" s="76"/>
      <c r="V192" s="76"/>
      <c r="W192" s="76"/>
      <c r="X192" s="76"/>
      <c r="Y192" s="76"/>
      <c r="Z192" s="83"/>
      <c r="AA192" s="23"/>
    </row>
    <row r="193" spans="1:33" s="3" customFormat="1" ht="14" outlineLevel="1" x14ac:dyDescent="0.2">
      <c r="O193" s="73"/>
      <c r="P193" s="73"/>
      <c r="Q193" s="74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33" s="3" customFormat="1" ht="14" x14ac:dyDescent="0.2"/>
    <row r="195" spans="1:33" s="1" customFormat="1" x14ac:dyDescent="0.2"/>
    <row r="196" spans="1:33" s="1" customFormat="1" x14ac:dyDescent="0.2"/>
    <row r="197" spans="1:33" s="6" customFormat="1" ht="14" x14ac:dyDescent="0.2">
      <c r="A197" s="6" t="s">
        <v>4</v>
      </c>
    </row>
    <row r="198" spans="1:33" s="3" customFormat="1" ht="14" outlineLevel="1" x14ac:dyDescent="0.2">
      <c r="M198" s="85"/>
      <c r="N198" s="85"/>
      <c r="O198" s="85"/>
    </row>
    <row r="199" spans="1:33" s="3" customFormat="1" ht="14" outlineLevel="1" x14ac:dyDescent="0.2">
      <c r="C199" s="10"/>
      <c r="D199" s="10"/>
      <c r="E199" s="10"/>
      <c r="F199" s="72"/>
      <c r="G199" s="11" t="s">
        <v>28</v>
      </c>
      <c r="H199" s="80"/>
      <c r="I199" s="80"/>
      <c r="J199" s="80"/>
      <c r="K199" s="81"/>
      <c r="Q199" s="11" t="s">
        <v>6</v>
      </c>
      <c r="R199" s="12"/>
      <c r="S199" s="12"/>
      <c r="T199" s="12"/>
      <c r="U199" s="12"/>
      <c r="V199" s="12"/>
      <c r="W199" s="12"/>
      <c r="X199" s="12"/>
      <c r="Y199" s="12"/>
      <c r="Z199" s="13"/>
    </row>
    <row r="200" spans="1:33" s="3" customFormat="1" ht="14" outlineLevel="1" x14ac:dyDescent="0.2">
      <c r="B200" s="14"/>
      <c r="L200" s="16" t="s">
        <v>7</v>
      </c>
      <c r="M200" s="86" t="s">
        <v>29</v>
      </c>
      <c r="N200" s="86"/>
      <c r="O200" s="86"/>
      <c r="P200" s="16" t="s">
        <v>30</v>
      </c>
      <c r="Q200" s="19" t="str">
        <f t="shared" ref="Q200:U201" si="88">Q140</f>
        <v>Year 1</v>
      </c>
      <c r="R200" s="19" t="str">
        <f t="shared" si="88"/>
        <v>Year 2</v>
      </c>
      <c r="S200" s="19" t="str">
        <f t="shared" si="88"/>
        <v>Year 3</v>
      </c>
      <c r="T200" s="19" t="str">
        <f t="shared" si="88"/>
        <v>Year 4</v>
      </c>
      <c r="U200" s="19" t="str">
        <f t="shared" si="88"/>
        <v>Year 5</v>
      </c>
      <c r="V200" s="19"/>
      <c r="W200" s="19"/>
      <c r="X200" s="19"/>
      <c r="Y200" s="19"/>
      <c r="Z200" s="20"/>
    </row>
    <row r="201" spans="1:33" s="3" customFormat="1" ht="14" outlineLevel="1" x14ac:dyDescent="0.2">
      <c r="B201" s="58"/>
      <c r="C201" s="10"/>
      <c r="D201" s="10"/>
      <c r="E201" s="10"/>
      <c r="F201" s="10"/>
      <c r="G201" s="24">
        <v>2017</v>
      </c>
      <c r="H201" s="24">
        <v>2018</v>
      </c>
      <c r="I201" s="24">
        <v>2019</v>
      </c>
      <c r="J201" s="24">
        <v>2020</v>
      </c>
      <c r="K201" s="24">
        <v>2021</v>
      </c>
      <c r="L201" s="25">
        <v>44742</v>
      </c>
      <c r="M201" s="27" t="s">
        <v>31</v>
      </c>
      <c r="N201" s="27"/>
      <c r="O201" s="27" t="s">
        <v>32</v>
      </c>
      <c r="P201" s="25">
        <f>L201</f>
        <v>44742</v>
      </c>
      <c r="Q201" s="29">
        <f t="shared" si="88"/>
        <v>2023</v>
      </c>
      <c r="R201" s="29">
        <f t="shared" si="88"/>
        <v>2024</v>
      </c>
      <c r="S201" s="29">
        <f t="shared" si="88"/>
        <v>2025</v>
      </c>
      <c r="T201" s="29">
        <f t="shared" si="88"/>
        <v>2026</v>
      </c>
      <c r="U201" s="29">
        <f t="shared" si="88"/>
        <v>2027</v>
      </c>
      <c r="V201" s="29"/>
      <c r="W201" s="29"/>
      <c r="X201" s="29"/>
      <c r="Y201" s="29"/>
      <c r="Z201" s="30"/>
      <c r="AA201" s="87"/>
      <c r="AG201" s="36"/>
    </row>
    <row r="202" spans="1:33" s="3" customFormat="1" ht="14" outlineLevel="1" x14ac:dyDescent="0.2">
      <c r="B202" s="88" t="s">
        <v>33</v>
      </c>
      <c r="C202" s="89"/>
      <c r="D202" s="89"/>
      <c r="E202" s="89"/>
      <c r="F202" s="89"/>
      <c r="G202" s="90"/>
      <c r="H202" s="90"/>
      <c r="I202" s="90"/>
      <c r="J202" s="90"/>
      <c r="K202" s="90"/>
      <c r="L202" s="53"/>
      <c r="M202" s="36"/>
      <c r="N202" s="36"/>
      <c r="O202" s="36"/>
      <c r="P202" s="53"/>
      <c r="Q202" s="36"/>
      <c r="R202" s="36"/>
      <c r="T202" s="36"/>
      <c r="Z202" s="65"/>
      <c r="AG202" s="36"/>
    </row>
    <row r="203" spans="1:33" s="3" customFormat="1" ht="14" outlineLevel="1" x14ac:dyDescent="0.2">
      <c r="B203" s="23" t="s">
        <v>34</v>
      </c>
      <c r="G203" s="31">
        <v>4403.1000000000004</v>
      </c>
      <c r="H203" s="31">
        <v>6209.4</v>
      </c>
      <c r="I203" s="31">
        <v>6639.1</v>
      </c>
      <c r="J203" s="31">
        <v>7472.3</v>
      </c>
      <c r="K203" s="148">
        <v>6393.7</v>
      </c>
      <c r="L203" s="148">
        <v>6120.7</v>
      </c>
      <c r="M203" s="36">
        <f>C86</f>
        <v>4000</v>
      </c>
      <c r="N203" s="36"/>
      <c r="O203" s="36">
        <f>-L203</f>
        <v>-6120.7</v>
      </c>
      <c r="P203" s="32">
        <f>L203+M203+O203</f>
        <v>4000.0000000000009</v>
      </c>
      <c r="Q203" s="36">
        <f>P203</f>
        <v>4000.0000000000009</v>
      </c>
      <c r="R203" s="36">
        <f t="shared" ref="R203:U203" si="89">Q203</f>
        <v>4000.0000000000009</v>
      </c>
      <c r="S203" s="36">
        <f t="shared" si="89"/>
        <v>4000.0000000000009</v>
      </c>
      <c r="T203" s="36">
        <f t="shared" si="89"/>
        <v>4000.0000000000009</v>
      </c>
      <c r="U203" s="36">
        <f t="shared" si="89"/>
        <v>4000.0000000000009</v>
      </c>
      <c r="V203" s="36"/>
      <c r="W203" s="36"/>
      <c r="X203" s="36"/>
      <c r="Y203" s="36"/>
      <c r="Z203" s="50"/>
    </row>
    <row r="204" spans="1:33" s="3" customFormat="1" ht="14" outlineLevel="1" x14ac:dyDescent="0.2">
      <c r="B204" s="23" t="s">
        <v>35</v>
      </c>
      <c r="G204" s="31">
        <v>664.3</v>
      </c>
      <c r="H204" s="31">
        <v>788.7</v>
      </c>
      <c r="I204" s="31">
        <v>850.18399999999997</v>
      </c>
      <c r="J204" s="31">
        <v>1041.7429999999999</v>
      </c>
      <c r="K204" s="148">
        <v>1217.404</v>
      </c>
      <c r="L204" s="148">
        <v>972.6</v>
      </c>
      <c r="M204" s="36"/>
      <c r="N204" s="36"/>
      <c r="O204" s="36"/>
      <c r="P204" s="32">
        <f t="shared" ref="P204:P207" si="90">L204</f>
        <v>972.6</v>
      </c>
      <c r="Q204" s="36">
        <f ca="1">I406</f>
        <v>797.53200000000015</v>
      </c>
      <c r="R204" s="36">
        <f ca="1">J406</f>
        <v>917.16180000000008</v>
      </c>
      <c r="S204" s="36">
        <f ca="1">K406</f>
        <v>1192.31034</v>
      </c>
      <c r="T204" s="36">
        <f ca="1">L406</f>
        <v>1728.849993</v>
      </c>
      <c r="U204" s="36">
        <f ca="1">M406</f>
        <v>2679.7174891499999</v>
      </c>
      <c r="V204" s="36"/>
      <c r="W204" s="36"/>
      <c r="X204" s="36"/>
      <c r="Y204" s="36"/>
      <c r="Z204" s="50"/>
      <c r="AA204" s="23"/>
    </row>
    <row r="205" spans="1:33" s="3" customFormat="1" ht="14" outlineLevel="1" x14ac:dyDescent="0.2">
      <c r="B205" s="23" t="s">
        <v>139</v>
      </c>
      <c r="G205" s="31">
        <v>243.988</v>
      </c>
      <c r="H205" s="31">
        <v>109.9</v>
      </c>
      <c r="I205" s="31">
        <v>125.2</v>
      </c>
      <c r="J205" s="31">
        <v>115.2</v>
      </c>
      <c r="K205" s="148">
        <v>250.5</v>
      </c>
      <c r="L205" s="148">
        <v>163.30000000000001</v>
      </c>
      <c r="M205" s="36"/>
      <c r="N205" s="36"/>
      <c r="O205" s="36"/>
      <c r="P205" s="32">
        <f t="shared" si="90"/>
        <v>163.30000000000001</v>
      </c>
      <c r="Q205" s="97">
        <f ca="1">I407</f>
        <v>133.90600000000003</v>
      </c>
      <c r="R205" s="36">
        <f t="shared" ref="R205:U205" ca="1" si="91">J407</f>
        <v>153.99190000000002</v>
      </c>
      <c r="S205" s="36">
        <f t="shared" ca="1" si="91"/>
        <v>200.18947000000003</v>
      </c>
      <c r="T205" s="36">
        <f t="shared" ca="1" si="91"/>
        <v>290.27473150000003</v>
      </c>
      <c r="U205" s="36">
        <f t="shared" ca="1" si="91"/>
        <v>449.92583382500004</v>
      </c>
      <c r="V205" s="36"/>
      <c r="W205" s="36"/>
      <c r="X205" s="36"/>
      <c r="Y205" s="36"/>
      <c r="Z205" s="50"/>
      <c r="AA205" s="23"/>
    </row>
    <row r="206" spans="1:33" s="3" customFormat="1" ht="14" outlineLevel="1" x14ac:dyDescent="0.2">
      <c r="B206" s="99" t="s">
        <v>140</v>
      </c>
      <c r="G206" s="31">
        <v>8.3000000000000007</v>
      </c>
      <c r="H206" s="31">
        <v>1.7</v>
      </c>
      <c r="I206" s="31">
        <v>1.9</v>
      </c>
      <c r="J206" s="31">
        <v>2.2999999999999998</v>
      </c>
      <c r="K206" s="148">
        <v>8.1</v>
      </c>
      <c r="L206" s="148">
        <v>7.9</v>
      </c>
      <c r="M206" s="36"/>
      <c r="N206" s="36"/>
      <c r="O206" s="77"/>
      <c r="P206" s="32">
        <f t="shared" si="90"/>
        <v>7.9</v>
      </c>
      <c r="Q206" s="179">
        <f>L206</f>
        <v>7.9</v>
      </c>
      <c r="R206" s="150">
        <f>Q206</f>
        <v>7.9</v>
      </c>
      <c r="S206" s="150">
        <f t="shared" ref="S206:U206" si="92">R206</f>
        <v>7.9</v>
      </c>
      <c r="T206" s="150">
        <f t="shared" si="92"/>
        <v>7.9</v>
      </c>
      <c r="U206" s="150">
        <f t="shared" si="92"/>
        <v>7.9</v>
      </c>
      <c r="V206" s="39"/>
      <c r="W206" s="39"/>
      <c r="X206" s="39"/>
      <c r="Y206" s="39"/>
      <c r="Z206" s="64"/>
      <c r="AA206" s="23"/>
    </row>
    <row r="207" spans="1:33" s="3" customFormat="1" ht="14" outlineLevel="1" x14ac:dyDescent="0.2">
      <c r="B207" s="58" t="s">
        <v>36</v>
      </c>
      <c r="C207" s="10"/>
      <c r="D207" s="10"/>
      <c r="E207" s="10"/>
      <c r="F207" s="10"/>
      <c r="G207" s="59">
        <v>2.2000000000000002</v>
      </c>
      <c r="H207" s="59">
        <v>1.3</v>
      </c>
      <c r="I207" s="59">
        <v>3.8</v>
      </c>
      <c r="J207" s="59">
        <v>5.5</v>
      </c>
      <c r="K207" s="159">
        <v>48.6</v>
      </c>
      <c r="L207" s="163">
        <v>9</v>
      </c>
      <c r="M207" s="189"/>
      <c r="N207" s="76"/>
      <c r="O207" s="76"/>
      <c r="P207" s="60">
        <f t="shared" si="90"/>
        <v>9</v>
      </c>
      <c r="Q207" s="191">
        <f ca="1">I408</f>
        <v>7.3800000000000017</v>
      </c>
      <c r="R207" s="144">
        <f t="shared" ref="R207:U207" ca="1" si="93">J408</f>
        <v>8.4870000000000001</v>
      </c>
      <c r="S207" s="144">
        <f t="shared" ca="1" si="93"/>
        <v>11.033100000000001</v>
      </c>
      <c r="T207" s="144">
        <f t="shared" ca="1" si="93"/>
        <v>15.997995000000001</v>
      </c>
      <c r="U207" s="144">
        <f t="shared" ca="1" si="93"/>
        <v>24.796892249999999</v>
      </c>
      <c r="V207" s="56"/>
      <c r="W207" s="56"/>
      <c r="X207" s="56"/>
      <c r="Y207" s="56"/>
      <c r="Z207" s="66"/>
      <c r="AA207" s="23"/>
    </row>
    <row r="208" spans="1:33" s="3" customFormat="1" ht="14" outlineLevel="1" x14ac:dyDescent="0.2">
      <c r="B208" s="99" t="s">
        <v>37</v>
      </c>
      <c r="C208" s="100"/>
      <c r="D208" s="100"/>
      <c r="E208" s="100"/>
      <c r="F208" s="100"/>
      <c r="G208" s="36">
        <f>SUM(G203:G207)</f>
        <v>5321.8880000000008</v>
      </c>
      <c r="H208" s="36">
        <f t="shared" ref="H208:L208" si="94">SUM(H203:H207)</f>
        <v>7110.9999999999991</v>
      </c>
      <c r="I208" s="36">
        <f t="shared" si="94"/>
        <v>7620.1840000000002</v>
      </c>
      <c r="J208" s="36">
        <f t="shared" si="94"/>
        <v>8637.0429999999997</v>
      </c>
      <c r="K208" s="77">
        <f t="shared" si="94"/>
        <v>7918.3040000000001</v>
      </c>
      <c r="L208" s="32">
        <f t="shared" si="94"/>
        <v>7273.5</v>
      </c>
      <c r="M208" s="36"/>
      <c r="N208" s="36"/>
      <c r="O208" s="36"/>
      <c r="P208" s="32">
        <f>SUM(P203:P207)</f>
        <v>5152.8000000000011</v>
      </c>
      <c r="Q208" s="36">
        <f t="shared" ref="Q208" ca="1" si="95">SUM(Q203:Q207)</f>
        <v>4946.7180000000008</v>
      </c>
      <c r="R208" s="36">
        <f t="shared" ref="R208" ca="1" si="96">SUM(R203:R207)</f>
        <v>5087.5407000000005</v>
      </c>
      <c r="S208" s="36">
        <f t="shared" ref="S208" ca="1" si="97">SUM(S203:S207)</f>
        <v>5411.4329100000004</v>
      </c>
      <c r="T208" s="36">
        <f t="shared" ref="T208" ca="1" si="98">SUM(T203:T207)</f>
        <v>6043.0227194999998</v>
      </c>
      <c r="U208" s="36">
        <f t="shared" ref="U208" ca="1" si="99">SUM(U203:U207)</f>
        <v>7162.340215225001</v>
      </c>
      <c r="V208" s="36"/>
      <c r="W208" s="36"/>
      <c r="X208" s="36"/>
      <c r="Y208" s="36"/>
      <c r="Z208" s="50"/>
      <c r="AA208" s="23"/>
    </row>
    <row r="209" spans="2:27" s="3" customFormat="1" ht="14" outlineLevel="1" x14ac:dyDescent="0.2">
      <c r="B209" s="23"/>
      <c r="K209" s="155"/>
      <c r="L209" s="53"/>
      <c r="M209" s="36"/>
      <c r="N209" s="36"/>
      <c r="O209" s="36"/>
      <c r="P209" s="32"/>
      <c r="Z209" s="65"/>
      <c r="AA209" s="23"/>
    </row>
    <row r="210" spans="2:27" s="3" customFormat="1" ht="14" outlineLevel="1" x14ac:dyDescent="0.2">
      <c r="B210" s="23" t="s">
        <v>38</v>
      </c>
      <c r="G210" s="31">
        <v>773.71500000000003</v>
      </c>
      <c r="H210" s="31">
        <v>885.07799999999997</v>
      </c>
      <c r="I210" s="31">
        <v>1728.9</v>
      </c>
      <c r="J210" s="31">
        <v>2423.9</v>
      </c>
      <c r="K210" s="148">
        <v>3277.3</v>
      </c>
      <c r="L210" s="101">
        <v>3547.8</v>
      </c>
      <c r="M210" s="36"/>
      <c r="N210" s="36"/>
      <c r="O210" s="36"/>
      <c r="P210" s="32">
        <f>L210</f>
        <v>3547.8</v>
      </c>
      <c r="Q210" s="36">
        <f ca="1">P210-Q270-Q162</f>
        <v>3856.6940000000004</v>
      </c>
      <c r="R210" s="36">
        <f t="shared" ref="R210:U210" ca="1" si="100">Q210-R270-R162</f>
        <v>4211.9221000000007</v>
      </c>
      <c r="S210" s="36">
        <f t="shared" ca="1" si="100"/>
        <v>4673.7186300000012</v>
      </c>
      <c r="T210" s="36">
        <f t="shared" ca="1" si="100"/>
        <v>5343.323598500001</v>
      </c>
      <c r="U210" s="36">
        <f t="shared" ca="1" si="100"/>
        <v>6381.2112996750011</v>
      </c>
      <c r="V210" s="36"/>
      <c r="W210" s="36"/>
      <c r="X210" s="36"/>
      <c r="Y210" s="36"/>
      <c r="Z210" s="50"/>
    </row>
    <row r="211" spans="2:27" s="3" customFormat="1" ht="14" outlineLevel="1" x14ac:dyDescent="0.2">
      <c r="B211" s="23" t="s">
        <v>141</v>
      </c>
      <c r="G211" s="31">
        <v>27.6</v>
      </c>
      <c r="H211" s="31">
        <v>30.2</v>
      </c>
      <c r="I211" s="31">
        <v>77.7</v>
      </c>
      <c r="J211" s="31">
        <v>85.8</v>
      </c>
      <c r="K211" s="148">
        <v>237.4</v>
      </c>
      <c r="L211" s="148">
        <v>0</v>
      </c>
      <c r="M211" s="36"/>
      <c r="N211" s="36"/>
      <c r="O211" s="36"/>
      <c r="P211" s="32">
        <f t="shared" ref="P211:P212" si="101">L211</f>
        <v>0</v>
      </c>
      <c r="Q211" s="36">
        <f>P211</f>
        <v>0</v>
      </c>
      <c r="R211" s="36">
        <f t="shared" ref="R211:U211" si="102">Q211</f>
        <v>0</v>
      </c>
      <c r="S211" s="36">
        <f t="shared" si="102"/>
        <v>0</v>
      </c>
      <c r="T211" s="36">
        <f t="shared" si="102"/>
        <v>0</v>
      </c>
      <c r="U211" s="36">
        <f t="shared" si="102"/>
        <v>0</v>
      </c>
      <c r="V211" s="36"/>
      <c r="W211" s="36"/>
      <c r="X211" s="36"/>
      <c r="Y211" s="36"/>
      <c r="Z211" s="50"/>
    </row>
    <row r="212" spans="2:27" s="3" customFormat="1" ht="14" outlineLevel="1" x14ac:dyDescent="0.2">
      <c r="B212" s="23" t="s">
        <v>54</v>
      </c>
      <c r="G212" s="31">
        <v>49.654000000000003</v>
      </c>
      <c r="H212" s="31">
        <v>45.024999999999999</v>
      </c>
      <c r="I212" s="31">
        <v>55.106000000000002</v>
      </c>
      <c r="J212" s="31">
        <v>58.338000000000001</v>
      </c>
      <c r="K212" s="148">
        <v>69.323999999999998</v>
      </c>
      <c r="L212" s="148">
        <v>52.6</v>
      </c>
      <c r="M212" s="36"/>
      <c r="N212" s="36"/>
      <c r="O212" s="36"/>
      <c r="P212" s="32">
        <f t="shared" si="101"/>
        <v>52.6</v>
      </c>
      <c r="Q212" s="36">
        <f>P212</f>
        <v>52.6</v>
      </c>
      <c r="R212" s="36">
        <f t="shared" ref="R212:U212" si="103">Q212</f>
        <v>52.6</v>
      </c>
      <c r="S212" s="36">
        <f t="shared" si="103"/>
        <v>52.6</v>
      </c>
      <c r="T212" s="36">
        <f t="shared" si="103"/>
        <v>52.6</v>
      </c>
      <c r="U212" s="36">
        <f t="shared" si="103"/>
        <v>52.6</v>
      </c>
      <c r="V212" s="36"/>
      <c r="W212" s="36"/>
      <c r="X212" s="36"/>
      <c r="Y212" s="36"/>
      <c r="Z212" s="50"/>
    </row>
    <row r="213" spans="2:27" s="3" customFormat="1" ht="14" outlineLevel="1" x14ac:dyDescent="0.2">
      <c r="B213" s="23" t="s">
        <v>39</v>
      </c>
      <c r="G213" s="31">
        <v>1188.9349999999999</v>
      </c>
      <c r="H213" s="31">
        <v>1227.269</v>
      </c>
      <c r="I213" s="31">
        <v>1256.6990000000001</v>
      </c>
      <c r="J213" s="31">
        <v>1312.346</v>
      </c>
      <c r="K213" s="148">
        <v>1301.52</v>
      </c>
      <c r="L213" s="148">
        <v>1303.3</v>
      </c>
      <c r="M213" s="36">
        <f>SUM(M220:O226,M230:O237,M246:O246)-SUM(M203:O207,M212:O212,O213,M214:O216)</f>
        <v>34678.400000000001</v>
      </c>
      <c r="N213" s="36"/>
      <c r="O213" s="36">
        <f>-L213</f>
        <v>-1303.3</v>
      </c>
      <c r="P213" s="32">
        <f>L213+M213+O213</f>
        <v>34678.400000000001</v>
      </c>
      <c r="Q213" s="36">
        <f>P213</f>
        <v>34678.400000000001</v>
      </c>
      <c r="R213" s="36">
        <f t="shared" ref="R213:U213" si="104">Q213</f>
        <v>34678.400000000001</v>
      </c>
      <c r="S213" s="36">
        <f t="shared" si="104"/>
        <v>34678.400000000001</v>
      </c>
      <c r="T213" s="36">
        <f t="shared" si="104"/>
        <v>34678.400000000001</v>
      </c>
      <c r="U213" s="36">
        <f t="shared" si="104"/>
        <v>34678.400000000001</v>
      </c>
      <c r="V213" s="36"/>
      <c r="W213" s="36"/>
      <c r="X213" s="36"/>
      <c r="Y213" s="36"/>
      <c r="Z213" s="50"/>
    </row>
    <row r="214" spans="2:27" s="3" customFormat="1" ht="14" outlineLevel="1" x14ac:dyDescent="0.2">
      <c r="B214" s="23" t="s">
        <v>55</v>
      </c>
      <c r="G214" s="31">
        <v>10.5</v>
      </c>
      <c r="H214" s="31">
        <v>808.45899999999995</v>
      </c>
      <c r="I214" s="31">
        <v>1908.086</v>
      </c>
      <c r="J214" s="31">
        <v>796.32600000000002</v>
      </c>
      <c r="K214" s="148">
        <v>1148.5730000000001</v>
      </c>
      <c r="L214" s="148">
        <v>997.9</v>
      </c>
      <c r="M214" s="36"/>
      <c r="N214" s="36"/>
      <c r="O214" s="36">
        <f>-L214</f>
        <v>-997.9</v>
      </c>
      <c r="P214" s="32">
        <f>L214+O214</f>
        <v>0</v>
      </c>
      <c r="Q214" s="36">
        <f>P214</f>
        <v>0</v>
      </c>
      <c r="R214" s="36">
        <f t="shared" ref="R214:U215" si="105">Q214</f>
        <v>0</v>
      </c>
      <c r="S214" s="36">
        <f t="shared" si="105"/>
        <v>0</v>
      </c>
      <c r="T214" s="36">
        <f t="shared" si="105"/>
        <v>0</v>
      </c>
      <c r="U214" s="36">
        <f t="shared" si="105"/>
        <v>0</v>
      </c>
      <c r="V214" s="36"/>
      <c r="W214" s="36"/>
      <c r="X214" s="36"/>
      <c r="Y214" s="36"/>
      <c r="Z214" s="50"/>
    </row>
    <row r="215" spans="2:27" s="3" customFormat="1" ht="14" outlineLevel="1" x14ac:dyDescent="0.2">
      <c r="B215" s="23" t="s">
        <v>142</v>
      </c>
      <c r="G215" s="31">
        <v>40.200000000000003</v>
      </c>
      <c r="H215" s="31">
        <v>55.5</v>
      </c>
      <c r="I215" s="31">
        <v>56.6</v>
      </c>
      <c r="J215" s="31">
        <v>65.2</v>
      </c>
      <c r="K215" s="148">
        <v>107</v>
      </c>
      <c r="L215" s="148">
        <v>404</v>
      </c>
      <c r="M215" s="97"/>
      <c r="N215" s="36"/>
      <c r="O215" s="77"/>
      <c r="P215" s="32">
        <f>L215</f>
        <v>404</v>
      </c>
      <c r="Q215" s="97">
        <f>P215</f>
        <v>404</v>
      </c>
      <c r="R215" s="36">
        <f t="shared" si="105"/>
        <v>404</v>
      </c>
      <c r="S215" s="36">
        <f t="shared" si="105"/>
        <v>404</v>
      </c>
      <c r="T215" s="36">
        <f t="shared" si="105"/>
        <v>404</v>
      </c>
      <c r="U215" s="36">
        <f t="shared" si="105"/>
        <v>404</v>
      </c>
      <c r="V215" s="36"/>
      <c r="W215" s="36"/>
      <c r="X215" s="36"/>
      <c r="Y215" s="36"/>
      <c r="Z215" s="50"/>
    </row>
    <row r="216" spans="2:27" s="3" customFormat="1" ht="14" outlineLevel="1" x14ac:dyDescent="0.2">
      <c r="B216" s="58" t="s">
        <v>88</v>
      </c>
      <c r="C216" s="10"/>
      <c r="D216" s="10"/>
      <c r="E216" s="10"/>
      <c r="F216" s="10"/>
      <c r="G216" s="59">
        <f>0</f>
        <v>0</v>
      </c>
      <c r="H216" s="59">
        <f>0</f>
        <v>0</v>
      </c>
      <c r="I216" s="59">
        <f>0</f>
        <v>0</v>
      </c>
      <c r="J216" s="59">
        <f>0</f>
        <v>0</v>
      </c>
      <c r="K216" s="59">
        <f>0</f>
        <v>0</v>
      </c>
      <c r="L216" s="59">
        <f>0</f>
        <v>0</v>
      </c>
      <c r="M216" s="189">
        <f>C85</f>
        <v>312.5</v>
      </c>
      <c r="N216" s="76"/>
      <c r="O216" s="76"/>
      <c r="P216" s="60">
        <f>L216+M216-O216</f>
        <v>312.5</v>
      </c>
      <c r="Q216" s="76">
        <f>P216-Q163</f>
        <v>250</v>
      </c>
      <c r="R216" s="76">
        <f t="shared" ref="R216:U216" si="106">Q216-R163</f>
        <v>187.5</v>
      </c>
      <c r="S216" s="76">
        <f t="shared" si="106"/>
        <v>125</v>
      </c>
      <c r="T216" s="76">
        <f t="shared" si="106"/>
        <v>62.5</v>
      </c>
      <c r="U216" s="76">
        <f t="shared" si="106"/>
        <v>0</v>
      </c>
      <c r="V216" s="76"/>
      <c r="W216" s="76"/>
      <c r="X216" s="76"/>
      <c r="Y216" s="76"/>
      <c r="Z216" s="83"/>
    </row>
    <row r="217" spans="2:27" s="3" customFormat="1" ht="14" outlineLevel="1" x14ac:dyDescent="0.2">
      <c r="B217" s="99" t="s">
        <v>40</v>
      </c>
      <c r="C217" s="100"/>
      <c r="D217" s="100"/>
      <c r="E217" s="100"/>
      <c r="F217" s="100"/>
      <c r="G217" s="131">
        <f t="shared" ref="G217:L217" si="107">SUM(G208,G210:G216)</f>
        <v>7412.4920000000011</v>
      </c>
      <c r="H217" s="131">
        <f t="shared" si="107"/>
        <v>10162.530999999999</v>
      </c>
      <c r="I217" s="131">
        <f t="shared" si="107"/>
        <v>12703.275000000001</v>
      </c>
      <c r="J217" s="131">
        <f t="shared" si="107"/>
        <v>13378.952999999998</v>
      </c>
      <c r="K217" s="181">
        <f t="shared" si="107"/>
        <v>14059.421</v>
      </c>
      <c r="L217" s="181">
        <f t="shared" si="107"/>
        <v>13579.099999999999</v>
      </c>
      <c r="M217" s="36"/>
      <c r="N217" s="36"/>
      <c r="O217" s="36"/>
      <c r="P217" s="32">
        <f>SUM(P210:P216,P208)</f>
        <v>44148.100000000006</v>
      </c>
      <c r="Q217" s="36">
        <f ca="1">SUM(Q208,Q210:Q216)</f>
        <v>44188.412000000004</v>
      </c>
      <c r="R217" s="36">
        <f ca="1">SUM(R208,R210:R216)</f>
        <v>44621.962800000001</v>
      </c>
      <c r="S217" s="36">
        <f ca="1">SUM(S208,S210:S216)</f>
        <v>45345.151540000006</v>
      </c>
      <c r="T217" s="36">
        <f ca="1">SUM(T208,T210:T216)</f>
        <v>46583.846318000004</v>
      </c>
      <c r="U217" s="36">
        <f ca="1">SUM(U208,U210:U216)</f>
        <v>48678.551514900006</v>
      </c>
      <c r="V217" s="36"/>
      <c r="W217" s="36"/>
      <c r="X217" s="36"/>
      <c r="Y217" s="36"/>
      <c r="Z217" s="50"/>
    </row>
    <row r="218" spans="2:27" s="3" customFormat="1" ht="14" outlineLevel="1" x14ac:dyDescent="0.2">
      <c r="B218" s="23"/>
      <c r="F218" s="3" t="s">
        <v>132</v>
      </c>
      <c r="G218" s="36"/>
      <c r="H218" s="36"/>
      <c r="I218" s="36"/>
      <c r="J218" s="36"/>
      <c r="K218" s="77"/>
      <c r="L218" s="32"/>
      <c r="M218" s="36"/>
      <c r="N218" s="36"/>
      <c r="O218" s="36"/>
      <c r="P218" s="32"/>
      <c r="Z218" s="65"/>
    </row>
    <row r="219" spans="2:27" s="3" customFormat="1" ht="14" outlineLevel="1" x14ac:dyDescent="0.2">
      <c r="B219" s="88" t="s">
        <v>41</v>
      </c>
      <c r="C219" s="89"/>
      <c r="D219" s="89"/>
      <c r="E219" s="89"/>
      <c r="F219" s="89"/>
      <c r="K219" s="155"/>
      <c r="L219" s="53"/>
      <c r="M219" s="36"/>
      <c r="N219" s="36"/>
      <c r="O219" s="36"/>
      <c r="P219" s="32"/>
      <c r="Z219" s="65"/>
    </row>
    <row r="220" spans="2:27" s="3" customFormat="1" ht="14" outlineLevel="1" x14ac:dyDescent="0.2">
      <c r="B220" s="23" t="s">
        <v>42</v>
      </c>
      <c r="G220" s="31">
        <v>170.96899999999999</v>
      </c>
      <c r="H220" s="31">
        <v>145.18600000000001</v>
      </c>
      <c r="I220" s="31">
        <v>161.148</v>
      </c>
      <c r="J220" s="31">
        <v>194.28100000000001</v>
      </c>
      <c r="K220" s="148">
        <v>203.17099999999999</v>
      </c>
      <c r="L220" s="101">
        <v>153.1</v>
      </c>
      <c r="M220" s="36"/>
      <c r="N220" s="36"/>
      <c r="O220" s="36"/>
      <c r="P220" s="32">
        <f>L220</f>
        <v>153.1</v>
      </c>
      <c r="Q220" s="150">
        <f ca="1">I411</f>
        <v>102.58087890218295</v>
      </c>
      <c r="R220" s="150">
        <f t="shared" ref="R220:U220" ca="1" si="108">J411</f>
        <v>121.65451107305758</v>
      </c>
      <c r="S220" s="150">
        <f t="shared" ca="1" si="108"/>
        <v>167.73576526739754</v>
      </c>
      <c r="T220" s="150">
        <f t="shared" ca="1" si="108"/>
        <v>222.36970024020701</v>
      </c>
      <c r="U220" s="150">
        <f t="shared" ca="1" si="108"/>
        <v>323.13097066155086</v>
      </c>
      <c r="V220" s="36"/>
      <c r="W220" s="36"/>
      <c r="X220" s="36"/>
      <c r="Y220" s="36"/>
      <c r="Z220" s="50"/>
    </row>
    <row r="221" spans="2:27" s="3" customFormat="1" ht="14" outlineLevel="1" x14ac:dyDescent="0.2">
      <c r="B221" s="23" t="s">
        <v>43</v>
      </c>
      <c r="G221" s="31">
        <v>263.39999999999998</v>
      </c>
      <c r="H221" s="31">
        <v>327.10000000000002</v>
      </c>
      <c r="I221" s="31">
        <v>385.9</v>
      </c>
      <c r="J221" s="31">
        <v>564.20000000000005</v>
      </c>
      <c r="K221" s="148">
        <v>792</v>
      </c>
      <c r="L221" s="101">
        <v>497.9</v>
      </c>
      <c r="M221" s="36"/>
      <c r="N221" s="36"/>
      <c r="O221" s="77"/>
      <c r="P221" s="77">
        <f>L221</f>
        <v>497.9</v>
      </c>
      <c r="Q221" s="150">
        <f ca="1">I412</f>
        <v>408.27800000000002</v>
      </c>
      <c r="R221" s="150">
        <f t="shared" ref="R221" ca="1" si="109">J412</f>
        <v>469.51969999999994</v>
      </c>
      <c r="S221" s="150">
        <f t="shared" ref="S221" ca="1" si="110">K412</f>
        <v>610.37560999999994</v>
      </c>
      <c r="T221" s="150">
        <f t="shared" ref="T221" ca="1" si="111">L412</f>
        <v>885.04463449999992</v>
      </c>
      <c r="U221" s="150">
        <f t="shared" ref="U221" ca="1" si="112">M412</f>
        <v>1371.8191834749998</v>
      </c>
      <c r="V221" s="36"/>
      <c r="W221" s="36"/>
      <c r="X221" s="36"/>
      <c r="Y221" s="36"/>
      <c r="Z221" s="50"/>
    </row>
    <row r="222" spans="2:27" s="3" customFormat="1" ht="14" outlineLevel="1" x14ac:dyDescent="0.2">
      <c r="B222" s="23" t="s">
        <v>56</v>
      </c>
      <c r="G222" s="31">
        <v>0</v>
      </c>
      <c r="H222" s="31">
        <v>897.32799999999997</v>
      </c>
      <c r="I222" s="31">
        <v>0</v>
      </c>
      <c r="J222" s="31">
        <v>917.86599999999999</v>
      </c>
      <c r="K222" s="148">
        <v>0</v>
      </c>
      <c r="L222" s="101">
        <v>0</v>
      </c>
      <c r="M222" s="36"/>
      <c r="N222" s="36"/>
      <c r="O222" s="77">
        <f>L222</f>
        <v>0</v>
      </c>
      <c r="P222" s="77">
        <f>L222-O222</f>
        <v>0</v>
      </c>
      <c r="Q222" s="150">
        <f>P222</f>
        <v>0</v>
      </c>
      <c r="R222" s="150">
        <f t="shared" ref="R222:U222" si="113">Q222</f>
        <v>0</v>
      </c>
      <c r="S222" s="150">
        <f t="shared" si="113"/>
        <v>0</v>
      </c>
      <c r="T222" s="150">
        <f t="shared" si="113"/>
        <v>0</v>
      </c>
      <c r="U222" s="150">
        <f t="shared" si="113"/>
        <v>0</v>
      </c>
      <c r="V222" s="36"/>
      <c r="W222" s="36"/>
      <c r="X222" s="36"/>
      <c r="Y222" s="36"/>
      <c r="Z222" s="50"/>
    </row>
    <row r="223" spans="2:27" s="3" customFormat="1" ht="14" outlineLevel="1" x14ac:dyDescent="0.2">
      <c r="B223" s="23" t="s">
        <v>57</v>
      </c>
      <c r="G223" s="31">
        <v>85</v>
      </c>
      <c r="H223" s="31">
        <v>68</v>
      </c>
      <c r="I223" s="31">
        <v>170.4</v>
      </c>
      <c r="J223" s="31">
        <v>177.1</v>
      </c>
      <c r="K223" s="148">
        <v>222.3</v>
      </c>
      <c r="L223" s="101">
        <v>188</v>
      </c>
      <c r="M223" s="36"/>
      <c r="N223" s="36"/>
      <c r="O223" s="77"/>
      <c r="P223" s="77">
        <f>L223</f>
        <v>188</v>
      </c>
      <c r="Q223" s="150">
        <f>P223</f>
        <v>188</v>
      </c>
      <c r="R223" s="150">
        <f t="shared" ref="R223:U223" si="114">Q223</f>
        <v>188</v>
      </c>
      <c r="S223" s="150">
        <f t="shared" si="114"/>
        <v>188</v>
      </c>
      <c r="T223" s="150">
        <f t="shared" si="114"/>
        <v>188</v>
      </c>
      <c r="U223" s="150">
        <f t="shared" si="114"/>
        <v>188</v>
      </c>
      <c r="V223" s="39"/>
      <c r="W223" s="39"/>
      <c r="X223" s="39"/>
      <c r="Y223" s="39"/>
      <c r="Z223" s="64"/>
    </row>
    <row r="224" spans="2:27" s="3" customFormat="1" ht="14" outlineLevel="1" x14ac:dyDescent="0.2">
      <c r="B224" s="23" t="s">
        <v>144</v>
      </c>
      <c r="G224" s="31">
        <v>36.1</v>
      </c>
      <c r="H224" s="31">
        <v>39.700000000000003</v>
      </c>
      <c r="I224" s="31">
        <v>46</v>
      </c>
      <c r="J224" s="31">
        <v>40.4</v>
      </c>
      <c r="K224" s="148">
        <v>47.8</v>
      </c>
      <c r="L224" s="101">
        <v>47.7</v>
      </c>
      <c r="M224" s="36"/>
      <c r="N224" s="36"/>
      <c r="O224" s="77"/>
      <c r="P224" s="77">
        <f t="shared" ref="P224:P226" si="115">L224</f>
        <v>47.7</v>
      </c>
      <c r="Q224" s="150">
        <f>P224</f>
        <v>47.7</v>
      </c>
      <c r="R224" s="150">
        <f t="shared" ref="R224:U224" si="116">Q224</f>
        <v>47.7</v>
      </c>
      <c r="S224" s="150">
        <f t="shared" si="116"/>
        <v>47.7</v>
      </c>
      <c r="T224" s="150">
        <f t="shared" si="116"/>
        <v>47.7</v>
      </c>
      <c r="U224" s="150">
        <f t="shared" si="116"/>
        <v>47.7</v>
      </c>
      <c r="V224" s="39"/>
      <c r="W224" s="39"/>
      <c r="X224" s="39"/>
      <c r="Y224" s="39"/>
      <c r="Z224" s="64"/>
    </row>
    <row r="225" spans="2:26" s="3" customFormat="1" ht="14" outlineLevel="1" x14ac:dyDescent="0.2">
      <c r="B225" s="23" t="s">
        <v>145</v>
      </c>
      <c r="G225" s="31">
        <v>27.8</v>
      </c>
      <c r="H225" s="31">
        <v>38.9</v>
      </c>
      <c r="I225" s="31">
        <v>69</v>
      </c>
      <c r="J225" s="31">
        <v>59</v>
      </c>
      <c r="K225" s="148">
        <v>78.5</v>
      </c>
      <c r="L225" s="101">
        <v>130.5</v>
      </c>
      <c r="M225" s="36"/>
      <c r="N225" s="36"/>
      <c r="O225" s="77"/>
      <c r="P225" s="77">
        <f t="shared" si="115"/>
        <v>130.5</v>
      </c>
      <c r="Q225" s="150">
        <f t="shared" ref="Q225:U226" ca="1" si="117">I413</f>
        <v>107.01000000000002</v>
      </c>
      <c r="R225" s="150">
        <f t="shared" ca="1" si="117"/>
        <v>123.06150000000001</v>
      </c>
      <c r="S225" s="150">
        <f t="shared" ca="1" si="117"/>
        <v>159.97995000000003</v>
      </c>
      <c r="T225" s="150">
        <f t="shared" ca="1" si="117"/>
        <v>231.97092750000002</v>
      </c>
      <c r="U225" s="150">
        <f t="shared" ca="1" si="117"/>
        <v>359.55493762500004</v>
      </c>
      <c r="V225" s="39"/>
      <c r="W225" s="39"/>
      <c r="X225" s="39"/>
      <c r="Y225" s="39"/>
      <c r="Z225" s="64"/>
    </row>
    <row r="226" spans="2:26" s="3" customFormat="1" ht="14" outlineLevel="1" x14ac:dyDescent="0.2">
      <c r="B226" s="58" t="s">
        <v>143</v>
      </c>
      <c r="C226" s="10"/>
      <c r="D226" s="10"/>
      <c r="E226" s="10"/>
      <c r="F226" s="10"/>
      <c r="G226" s="59">
        <v>0</v>
      </c>
      <c r="H226" s="59">
        <v>0</v>
      </c>
      <c r="I226" s="59">
        <v>0</v>
      </c>
      <c r="J226" s="59">
        <v>0</v>
      </c>
      <c r="K226" s="159">
        <v>0</v>
      </c>
      <c r="L226" s="163">
        <v>0</v>
      </c>
      <c r="M226" s="76"/>
      <c r="N226" s="76"/>
      <c r="O226" s="190"/>
      <c r="P226" s="190">
        <f t="shared" si="115"/>
        <v>0</v>
      </c>
      <c r="Q226" s="183">
        <f t="shared" ca="1" si="117"/>
        <v>0</v>
      </c>
      <c r="R226" s="165">
        <f t="shared" ca="1" si="117"/>
        <v>0</v>
      </c>
      <c r="S226" s="165">
        <f t="shared" ca="1" si="117"/>
        <v>0</v>
      </c>
      <c r="T226" s="165">
        <f t="shared" ca="1" si="117"/>
        <v>0</v>
      </c>
      <c r="U226" s="165">
        <f t="shared" ca="1" si="117"/>
        <v>0</v>
      </c>
      <c r="V226" s="56"/>
      <c r="W226" s="56"/>
      <c r="X226" s="56"/>
      <c r="Y226" s="56"/>
      <c r="Z226" s="66"/>
    </row>
    <row r="227" spans="2:26" s="3" customFormat="1" ht="14" outlineLevel="1" x14ac:dyDescent="0.2">
      <c r="B227" s="23" t="s">
        <v>44</v>
      </c>
      <c r="G227" s="36">
        <f>SUM(G220:G226)</f>
        <v>583.26899999999989</v>
      </c>
      <c r="H227" s="36">
        <f t="shared" ref="H227:L227" si="118">SUM(H220:H226)</f>
        <v>1516.2140000000002</v>
      </c>
      <c r="I227" s="36">
        <f t="shared" si="118"/>
        <v>832.44799999999998</v>
      </c>
      <c r="J227" s="36">
        <f t="shared" si="118"/>
        <v>1952.847</v>
      </c>
      <c r="K227" s="77">
        <f t="shared" si="118"/>
        <v>1343.771</v>
      </c>
      <c r="L227" s="32">
        <f t="shared" si="118"/>
        <v>1017.2</v>
      </c>
      <c r="M227" s="36"/>
      <c r="N227" s="36"/>
      <c r="O227" s="77"/>
      <c r="P227" s="77">
        <f>SUM(P220:P226)</f>
        <v>1017.2</v>
      </c>
      <c r="Q227" s="36">
        <f t="shared" ref="Q227" ca="1" si="119">SUM(Q220:Q226)</f>
        <v>853.56887890218297</v>
      </c>
      <c r="R227" s="36">
        <f t="shared" ref="R227" ca="1" si="120">SUM(R220:R226)</f>
        <v>949.93571107305763</v>
      </c>
      <c r="S227" s="36">
        <f t="shared" ref="S227" ca="1" si="121">SUM(S220:S226)</f>
        <v>1173.7913252673975</v>
      </c>
      <c r="T227" s="36">
        <f t="shared" ref="T227" ca="1" si="122">SUM(T220:T226)</f>
        <v>1575.0852622402069</v>
      </c>
      <c r="U227" s="36">
        <f t="shared" ref="U227" ca="1" si="123">SUM(U220:U226)</f>
        <v>2290.2050917615506</v>
      </c>
      <c r="V227" s="36"/>
      <c r="W227" s="36"/>
      <c r="X227" s="36"/>
      <c r="Y227" s="36"/>
      <c r="Z227" s="50"/>
    </row>
    <row r="228" spans="2:26" s="3" customFormat="1" ht="14" outlineLevel="1" x14ac:dyDescent="0.2">
      <c r="B228" s="23"/>
      <c r="K228" s="155"/>
      <c r="L228" s="53"/>
      <c r="M228" s="36"/>
      <c r="N228" s="36"/>
      <c r="O228" s="77"/>
      <c r="P228" s="77"/>
      <c r="Z228" s="65"/>
    </row>
    <row r="229" spans="2:26" s="3" customFormat="1" ht="14" outlineLevel="1" x14ac:dyDescent="0.2">
      <c r="B229" s="23"/>
      <c r="G229" s="31"/>
      <c r="H229" s="31"/>
      <c r="I229" s="31"/>
      <c r="J229" s="31"/>
      <c r="K229" s="148"/>
      <c r="L229" s="92"/>
      <c r="M229" s="36"/>
      <c r="N229" s="36"/>
      <c r="O229" s="77"/>
      <c r="P229" s="77"/>
      <c r="Q229" s="36"/>
      <c r="R229" s="36"/>
      <c r="S229" s="36"/>
      <c r="T229" s="36"/>
      <c r="U229" s="36"/>
      <c r="V229" s="36"/>
      <c r="W229" s="36"/>
      <c r="X229" s="36"/>
      <c r="Y229" s="36"/>
      <c r="Z229" s="50"/>
    </row>
    <row r="230" spans="2:26" s="3" customFormat="1" ht="14" outlineLevel="1" x14ac:dyDescent="0.2">
      <c r="B230" s="23" t="s">
        <v>58</v>
      </c>
      <c r="G230" s="31">
        <v>1627.46</v>
      </c>
      <c r="H230" s="31">
        <v>1730.922</v>
      </c>
      <c r="I230" s="31">
        <v>2508.8000000000002</v>
      </c>
      <c r="J230" s="31">
        <v>2568.9</v>
      </c>
      <c r="K230" s="148">
        <v>4253</v>
      </c>
      <c r="L230" s="148">
        <v>5246.6</v>
      </c>
      <c r="M230" s="36"/>
      <c r="N230" s="36"/>
      <c r="O230" s="77">
        <f>-L230</f>
        <v>-5246.6</v>
      </c>
      <c r="P230" s="77">
        <f t="shared" ref="P230:P231" si="124">L230+M230+O230</f>
        <v>0</v>
      </c>
      <c r="Q230" s="36">
        <f>P230</f>
        <v>0</v>
      </c>
      <c r="R230" s="36">
        <f t="shared" ref="R230:U230" si="125">Q230</f>
        <v>0</v>
      </c>
      <c r="S230" s="36">
        <f t="shared" si="125"/>
        <v>0</v>
      </c>
      <c r="T230" s="36">
        <f t="shared" si="125"/>
        <v>0</v>
      </c>
      <c r="U230" s="36">
        <f t="shared" si="125"/>
        <v>0</v>
      </c>
      <c r="V230" s="36"/>
      <c r="W230" s="36"/>
      <c r="X230" s="36"/>
      <c r="Y230" s="36"/>
      <c r="Z230" s="50"/>
    </row>
    <row r="231" spans="2:26" s="3" customFormat="1" ht="14" outlineLevel="1" x14ac:dyDescent="0.2">
      <c r="B231" s="23" t="s">
        <v>59</v>
      </c>
      <c r="G231" s="31">
        <v>81.3</v>
      </c>
      <c r="H231" s="31">
        <v>24.4</v>
      </c>
      <c r="I231" s="31">
        <v>609.20000000000005</v>
      </c>
      <c r="J231" s="31">
        <v>819.7</v>
      </c>
      <c r="K231" s="31">
        <v>1071.2</v>
      </c>
      <c r="L231" s="101">
        <v>1282.4000000000001</v>
      </c>
      <c r="M231" s="36"/>
      <c r="N231" s="36"/>
      <c r="O231" s="36">
        <f>-L231</f>
        <v>-1282.4000000000001</v>
      </c>
      <c r="P231" s="32">
        <f t="shared" si="124"/>
        <v>0</v>
      </c>
      <c r="Q231" s="36">
        <f>P231</f>
        <v>0</v>
      </c>
      <c r="R231" s="36">
        <f t="shared" ref="R231:U231" si="126">Q231</f>
        <v>0</v>
      </c>
      <c r="S231" s="36">
        <f t="shared" si="126"/>
        <v>0</v>
      </c>
      <c r="T231" s="36">
        <f t="shared" si="126"/>
        <v>0</v>
      </c>
      <c r="U231" s="36">
        <f t="shared" si="126"/>
        <v>0</v>
      </c>
      <c r="V231" s="36"/>
      <c r="W231" s="36"/>
      <c r="X231" s="36"/>
      <c r="Y231" s="36"/>
      <c r="Z231" s="50"/>
    </row>
    <row r="232" spans="2:26" s="3" customFormat="1" ht="14" outlineLevel="1" x14ac:dyDescent="0.2">
      <c r="B232" s="23" t="s">
        <v>60</v>
      </c>
      <c r="G232" s="31">
        <v>0.2</v>
      </c>
      <c r="H232" s="31">
        <v>3.1</v>
      </c>
      <c r="I232" s="31">
        <v>6.1</v>
      </c>
      <c r="J232" s="31">
        <v>8.1999999999999993</v>
      </c>
      <c r="K232" s="148">
        <v>8.6</v>
      </c>
      <c r="L232" s="148">
        <v>41.2</v>
      </c>
      <c r="M232" s="36"/>
      <c r="N232" s="36"/>
      <c r="O232" s="36">
        <f>-L232</f>
        <v>-41.2</v>
      </c>
      <c r="P232" s="32">
        <f>L232+M232+O232</f>
        <v>0</v>
      </c>
      <c r="Q232" s="36">
        <f>P232</f>
        <v>0</v>
      </c>
      <c r="R232" s="36">
        <f t="shared" ref="R232:U232" si="127">Q232</f>
        <v>0</v>
      </c>
      <c r="S232" s="36">
        <f t="shared" si="127"/>
        <v>0</v>
      </c>
      <c r="T232" s="36">
        <f t="shared" si="127"/>
        <v>0</v>
      </c>
      <c r="U232" s="36">
        <f t="shared" si="127"/>
        <v>0</v>
      </c>
      <c r="V232" s="36"/>
      <c r="W232" s="36"/>
      <c r="X232" s="36"/>
      <c r="Y232" s="36"/>
      <c r="Z232" s="50"/>
    </row>
    <row r="233" spans="2:26" s="3" customFormat="1" ht="14" outlineLevel="1" x14ac:dyDescent="0.2">
      <c r="B233" s="23" t="s">
        <v>61</v>
      </c>
      <c r="G233" s="31">
        <v>73</v>
      </c>
      <c r="H233" s="31">
        <v>82.3</v>
      </c>
      <c r="I233" s="188">
        <v>42.4</v>
      </c>
      <c r="J233" s="31">
        <v>59.4</v>
      </c>
      <c r="K233" s="148">
        <v>75.599999999999994</v>
      </c>
      <c r="L233" s="101">
        <v>59.1</v>
      </c>
      <c r="M233" s="36"/>
      <c r="N233" s="36"/>
      <c r="O233" s="36"/>
      <c r="P233" s="32">
        <f t="shared" ref="P233" si="128">L233-O233</f>
        <v>59.1</v>
      </c>
      <c r="Q233" s="36">
        <f>P233</f>
        <v>59.1</v>
      </c>
      <c r="R233" s="36">
        <f t="shared" ref="R233:U233" si="129">Q233</f>
        <v>59.1</v>
      </c>
      <c r="S233" s="36">
        <f t="shared" si="129"/>
        <v>59.1</v>
      </c>
      <c r="T233" s="36">
        <f t="shared" si="129"/>
        <v>59.1</v>
      </c>
      <c r="U233" s="36">
        <f t="shared" si="129"/>
        <v>59.1</v>
      </c>
      <c r="V233" s="36"/>
      <c r="W233" s="36"/>
      <c r="X233" s="36"/>
      <c r="Y233" s="36"/>
      <c r="Z233" s="50"/>
    </row>
    <row r="234" spans="2:26" s="3" customFormat="1" ht="14" outlineLevel="1" x14ac:dyDescent="0.2">
      <c r="B234" s="23" t="s">
        <v>91</v>
      </c>
      <c r="G234" s="31"/>
      <c r="H234" s="31"/>
      <c r="I234" s="188"/>
      <c r="J234" s="31"/>
      <c r="K234" s="148"/>
      <c r="L234" s="101">
        <v>0</v>
      </c>
      <c r="M234" s="36">
        <v>0</v>
      </c>
      <c r="N234" s="36"/>
      <c r="O234" s="36"/>
      <c r="P234" s="32">
        <f>M234+L234</f>
        <v>0</v>
      </c>
      <c r="Q234" s="36">
        <f ca="1">Q348</f>
        <v>998.70657521050634</v>
      </c>
      <c r="R234" s="36">
        <f t="shared" ref="R234:U234" ca="1" si="130">R348</f>
        <v>1988.6243808777122</v>
      </c>
      <c r="S234" s="36">
        <f t="shared" ca="1" si="130"/>
        <v>3070.9319122308534</v>
      </c>
      <c r="T234" s="36">
        <f t="shared" ca="1" si="130"/>
        <v>4062.4834022277673</v>
      </c>
      <c r="U234" s="36">
        <f t="shared" ca="1" si="130"/>
        <v>4821.6867768226966</v>
      </c>
      <c r="V234" s="36"/>
      <c r="W234" s="36"/>
      <c r="X234" s="36"/>
      <c r="Y234" s="36"/>
      <c r="Z234" s="50"/>
    </row>
    <row r="235" spans="2:26" s="3" customFormat="1" ht="14" outlineLevel="1" x14ac:dyDescent="0.2">
      <c r="B235" s="23" t="s">
        <v>92</v>
      </c>
      <c r="G235" s="31"/>
      <c r="H235" s="31"/>
      <c r="I235" s="188"/>
      <c r="J235" s="31"/>
      <c r="K235" s="148"/>
      <c r="L235" s="101">
        <v>0</v>
      </c>
      <c r="M235" s="36">
        <v>6500</v>
      </c>
      <c r="N235" s="36"/>
      <c r="O235" s="36"/>
      <c r="P235" s="32">
        <f>L235+M235</f>
        <v>6500</v>
      </c>
      <c r="Q235" s="36">
        <f ca="1">Q357</f>
        <v>6500</v>
      </c>
      <c r="R235" s="36">
        <f t="shared" ref="R235:U235" ca="1" si="131">R357</f>
        <v>6500</v>
      </c>
      <c r="S235" s="36">
        <f t="shared" ca="1" si="131"/>
        <v>6500</v>
      </c>
      <c r="T235" s="36">
        <f t="shared" ca="1" si="131"/>
        <v>6499.9999999999109</v>
      </c>
      <c r="U235" s="36">
        <f t="shared" ca="1" si="131"/>
        <v>6500.0000000138098</v>
      </c>
      <c r="V235" s="36"/>
      <c r="W235" s="36"/>
      <c r="X235" s="36"/>
      <c r="Y235" s="36"/>
      <c r="Z235" s="50"/>
    </row>
    <row r="236" spans="2:26" s="3" customFormat="1" ht="14" outlineLevel="1" x14ac:dyDescent="0.2">
      <c r="B236" s="23" t="s">
        <v>93</v>
      </c>
      <c r="G236" s="31"/>
      <c r="H236" s="31"/>
      <c r="I236" s="188"/>
      <c r="J236" s="31"/>
      <c r="K236" s="148"/>
      <c r="L236" s="101">
        <v>0</v>
      </c>
      <c r="M236" s="36">
        <v>3000</v>
      </c>
      <c r="N236" s="36"/>
      <c r="O236" s="36"/>
      <c r="P236" s="32">
        <f t="shared" ref="P236:P237" si="132">L236+M236</f>
        <v>3000</v>
      </c>
      <c r="Q236" s="36">
        <f>Q365</f>
        <v>3000</v>
      </c>
      <c r="R236" s="36">
        <f t="shared" ref="R236:U236" si="133">R365</f>
        <v>3000</v>
      </c>
      <c r="S236" s="36">
        <f t="shared" si="133"/>
        <v>3000</v>
      </c>
      <c r="T236" s="36">
        <f t="shared" si="133"/>
        <v>3000</v>
      </c>
      <c r="U236" s="36">
        <f t="shared" si="133"/>
        <v>3000</v>
      </c>
      <c r="V236" s="36"/>
      <c r="W236" s="36"/>
      <c r="X236" s="36"/>
      <c r="Y236" s="36"/>
      <c r="Z236" s="50"/>
    </row>
    <row r="237" spans="2:26" s="3" customFormat="1" ht="14" outlineLevel="1" x14ac:dyDescent="0.2">
      <c r="B237" s="58" t="s">
        <v>168</v>
      </c>
      <c r="C237" s="10"/>
      <c r="D237" s="10"/>
      <c r="E237" s="10"/>
      <c r="F237" s="10"/>
      <c r="G237" s="59"/>
      <c r="H237" s="59"/>
      <c r="I237" s="170"/>
      <c r="J237" s="59"/>
      <c r="K237" s="159"/>
      <c r="L237" s="163">
        <v>0</v>
      </c>
      <c r="M237" s="189">
        <v>3000</v>
      </c>
      <c r="N237" s="76"/>
      <c r="O237" s="76"/>
      <c r="P237" s="60">
        <f t="shared" si="132"/>
        <v>3000</v>
      </c>
      <c r="Q237" s="76">
        <f>Q373</f>
        <v>3000</v>
      </c>
      <c r="R237" s="76">
        <f t="shared" ref="R237:U237" si="134">R373</f>
        <v>3000</v>
      </c>
      <c r="S237" s="76">
        <f t="shared" si="134"/>
        <v>3000</v>
      </c>
      <c r="T237" s="76">
        <f t="shared" si="134"/>
        <v>3000</v>
      </c>
      <c r="U237" s="76">
        <f t="shared" si="134"/>
        <v>3000</v>
      </c>
      <c r="V237" s="76"/>
      <c r="W237" s="76"/>
      <c r="X237" s="76"/>
      <c r="Y237" s="76"/>
      <c r="Z237" s="83"/>
    </row>
    <row r="238" spans="2:26" s="3" customFormat="1" ht="14" outlineLevel="1" x14ac:dyDescent="0.2">
      <c r="B238" s="23" t="s">
        <v>45</v>
      </c>
      <c r="G238" s="131">
        <f t="shared" ref="G238:L238" si="135">SUM(G227,G230:G233)</f>
        <v>2365.2289999999998</v>
      </c>
      <c r="H238" s="131">
        <f t="shared" si="135"/>
        <v>3356.9360000000006</v>
      </c>
      <c r="I238" s="131">
        <f t="shared" si="135"/>
        <v>3998.9480000000003</v>
      </c>
      <c r="J238" s="131">
        <f t="shared" si="135"/>
        <v>5409.0469999999996</v>
      </c>
      <c r="K238" s="181">
        <f t="shared" si="135"/>
        <v>6752.1710000000003</v>
      </c>
      <c r="L238" s="187">
        <f t="shared" si="135"/>
        <v>7646.5000000000009</v>
      </c>
      <c r="M238" s="36"/>
      <c r="N238" s="36"/>
      <c r="O238" s="36"/>
      <c r="P238" s="32">
        <f>SUM(P230:P237,P227)</f>
        <v>13576.300000000001</v>
      </c>
      <c r="Q238" s="36">
        <f ca="1">SUM(Q227,Q230:Q237)</f>
        <v>14411.375454112689</v>
      </c>
      <c r="R238" s="36">
        <f t="shared" ref="R238:U238" ca="1" si="136">SUM(R227,R230:R237)</f>
        <v>15497.660091950769</v>
      </c>
      <c r="S238" s="36">
        <f t="shared" ca="1" si="136"/>
        <v>16803.823237498251</v>
      </c>
      <c r="T238" s="36">
        <f t="shared" ca="1" si="136"/>
        <v>18196.668664467885</v>
      </c>
      <c r="U238" s="36">
        <f t="shared" ca="1" si="136"/>
        <v>19670.991868598059</v>
      </c>
      <c r="V238" s="36"/>
      <c r="W238" s="36"/>
      <c r="X238" s="36"/>
      <c r="Y238" s="36"/>
      <c r="Z238" s="50"/>
    </row>
    <row r="239" spans="2:26" s="3" customFormat="1" ht="14" outlineLevel="1" x14ac:dyDescent="0.2">
      <c r="B239" s="23"/>
      <c r="G239" s="36"/>
      <c r="H239" s="36"/>
      <c r="I239" s="36"/>
      <c r="J239" s="36"/>
      <c r="K239" s="77"/>
      <c r="L239" s="32"/>
      <c r="M239" s="36"/>
      <c r="N239" s="36"/>
      <c r="O239" s="36"/>
      <c r="P239" s="32"/>
      <c r="Z239" s="65"/>
    </row>
    <row r="240" spans="2:26" s="3" customFormat="1" ht="14" outlineLevel="1" x14ac:dyDescent="0.2">
      <c r="B240" s="88" t="s">
        <v>46</v>
      </c>
      <c r="C240" s="89"/>
      <c r="D240" s="89"/>
      <c r="E240" s="89"/>
      <c r="F240" s="89"/>
      <c r="K240" s="155"/>
      <c r="L240" s="53"/>
      <c r="M240" s="36"/>
      <c r="N240" s="36"/>
      <c r="O240" s="36"/>
      <c r="P240" s="32"/>
      <c r="Z240" s="65"/>
    </row>
    <row r="241" spans="1:29" s="3" customFormat="1" ht="14" outlineLevel="1" x14ac:dyDescent="0.2">
      <c r="B241" s="23" t="s">
        <v>47</v>
      </c>
      <c r="G241" s="31">
        <v>4</v>
      </c>
      <c r="H241" s="31">
        <v>4</v>
      </c>
      <c r="I241" s="31">
        <v>4</v>
      </c>
      <c r="J241" s="31">
        <v>4</v>
      </c>
      <c r="K241" s="148">
        <v>4</v>
      </c>
      <c r="L241" s="101">
        <v>0</v>
      </c>
      <c r="M241" s="36"/>
      <c r="N241" s="36"/>
      <c r="O241" s="36"/>
      <c r="P241" s="32"/>
      <c r="Q241" s="36"/>
      <c r="R241" s="36"/>
      <c r="S241" s="36"/>
      <c r="T241" s="36"/>
      <c r="U241" s="36"/>
      <c r="V241" s="36"/>
      <c r="W241" s="36"/>
      <c r="X241" s="36"/>
      <c r="Y241" s="36"/>
      <c r="Z241" s="50"/>
    </row>
    <row r="242" spans="1:29" s="3" customFormat="1" ht="14" outlineLevel="1" x14ac:dyDescent="0.2">
      <c r="B242" s="23" t="s">
        <v>48</v>
      </c>
      <c r="G242" s="31">
        <v>0</v>
      </c>
      <c r="H242" s="31">
        <v>0</v>
      </c>
      <c r="I242" s="31">
        <v>0</v>
      </c>
      <c r="J242" s="31">
        <v>-5.2969999999999997</v>
      </c>
      <c r="K242" s="148">
        <v>-5.2949999999999999</v>
      </c>
      <c r="L242" s="101">
        <v>0</v>
      </c>
      <c r="M242" s="36"/>
      <c r="N242" s="36"/>
      <c r="O242" s="36"/>
      <c r="P242" s="32"/>
      <c r="Q242" s="36"/>
      <c r="R242" s="36"/>
      <c r="S242" s="36"/>
      <c r="T242" s="36"/>
      <c r="U242" s="36"/>
      <c r="V242" s="36"/>
      <c r="W242" s="36"/>
      <c r="X242" s="36"/>
      <c r="Y242" s="36"/>
      <c r="Z242" s="50"/>
    </row>
    <row r="243" spans="1:29" s="3" customFormat="1" ht="14" outlineLevel="1" x14ac:dyDescent="0.2">
      <c r="B243" s="23" t="s">
        <v>62</v>
      </c>
      <c r="G243" s="31">
        <v>7750.5219999999999</v>
      </c>
      <c r="H243" s="31">
        <v>8324.9740000000002</v>
      </c>
      <c r="I243" s="31">
        <v>8763.33</v>
      </c>
      <c r="J243" s="31">
        <f>9166.968</f>
        <v>9166.9680000000008</v>
      </c>
      <c r="K243" s="148">
        <v>8432.1710000000003</v>
      </c>
      <c r="L243" s="101">
        <v>7096.8</v>
      </c>
      <c r="M243" s="36"/>
      <c r="N243" s="36"/>
      <c r="O243" s="36"/>
      <c r="P243" s="32"/>
      <c r="Q243" s="36"/>
      <c r="R243" s="36"/>
      <c r="S243" s="36"/>
      <c r="T243" s="36"/>
      <c r="U243" s="36"/>
      <c r="V243" s="36"/>
      <c r="W243" s="36"/>
      <c r="X243" s="36"/>
      <c r="Y243" s="36"/>
      <c r="Z243" s="50"/>
    </row>
    <row r="244" spans="1:29" s="3" customFormat="1" ht="14" outlineLevel="1" x14ac:dyDescent="0.2">
      <c r="B244" s="23" t="s">
        <v>50</v>
      </c>
      <c r="G244" s="31">
        <v>-31.529</v>
      </c>
      <c r="H244" s="31">
        <v>-65.311000000000007</v>
      </c>
      <c r="I244" s="31">
        <v>-70.534000000000006</v>
      </c>
      <c r="J244" s="31">
        <v>-66.093999999999994</v>
      </c>
      <c r="K244" s="148">
        <v>-117.32</v>
      </c>
      <c r="L244" s="101">
        <v>-200.5</v>
      </c>
      <c r="M244" s="36"/>
      <c r="N244" s="36"/>
      <c r="O244" s="36"/>
      <c r="P244" s="32"/>
      <c r="Q244" s="36"/>
      <c r="R244" s="36"/>
      <c r="S244" s="36"/>
      <c r="T244" s="36"/>
      <c r="U244" s="36"/>
      <c r="V244" s="36"/>
      <c r="W244" s="36"/>
      <c r="X244" s="36"/>
      <c r="Y244" s="36"/>
      <c r="Z244" s="50"/>
    </row>
    <row r="245" spans="1:29" s="3" customFormat="1" ht="14" outlineLevel="1" x14ac:dyDescent="0.2">
      <c r="B245" s="58" t="s">
        <v>49</v>
      </c>
      <c r="C245" s="10"/>
      <c r="D245" s="10"/>
      <c r="E245" s="10"/>
      <c r="F245" s="10"/>
      <c r="G245" s="59">
        <v>-2671.7289999999998</v>
      </c>
      <c r="H245" s="59">
        <v>-1454.0730000000001</v>
      </c>
      <c r="I245" s="59">
        <v>11.536</v>
      </c>
      <c r="J245" s="59">
        <v>-1125.6690000000001</v>
      </c>
      <c r="K245" s="159">
        <v>-1002.302</v>
      </c>
      <c r="L245" s="163">
        <v>-963.7</v>
      </c>
      <c r="M245" s="76"/>
      <c r="N245" s="76"/>
      <c r="O245" s="76"/>
      <c r="P245" s="60"/>
      <c r="Q245" s="76"/>
      <c r="R245" s="76"/>
      <c r="S245" s="76"/>
      <c r="T245" s="76"/>
      <c r="U245" s="76"/>
      <c r="V245" s="76"/>
      <c r="W245" s="76"/>
      <c r="X245" s="76"/>
      <c r="Y245" s="76"/>
      <c r="Z245" s="83"/>
    </row>
    <row r="246" spans="1:29" s="3" customFormat="1" ht="14" outlineLevel="1" x14ac:dyDescent="0.2">
      <c r="B246" s="23" t="s">
        <v>51</v>
      </c>
      <c r="G246" s="36">
        <f t="shared" ref="G246:J246" si="137">SUM(G242:G245)</f>
        <v>5047.2639999999992</v>
      </c>
      <c r="H246" s="36">
        <f t="shared" si="137"/>
        <v>6805.59</v>
      </c>
      <c r="I246" s="36">
        <f t="shared" si="137"/>
        <v>8704.3320000000003</v>
      </c>
      <c r="J246" s="36">
        <f t="shared" si="137"/>
        <v>7969.9080000000013</v>
      </c>
      <c r="K246" s="77">
        <f>SUM(K242:K245)</f>
        <v>7307.2540000000008</v>
      </c>
      <c r="L246" s="32">
        <f>SUM(L241:L245)</f>
        <v>5932.6</v>
      </c>
      <c r="M246" s="36">
        <f>C78</f>
        <v>30571.8</v>
      </c>
      <c r="N246" s="36"/>
      <c r="O246" s="36">
        <f>-L246</f>
        <v>-5932.6</v>
      </c>
      <c r="P246" s="32">
        <f>L246+M246+O246</f>
        <v>30571.800000000003</v>
      </c>
      <c r="Q246" s="36">
        <f ca="1">P246+Q189</f>
        <v>29777.036545887313</v>
      </c>
      <c r="R246" s="36">
        <f t="shared" ref="R246:U246" ca="1" si="138">Q246+R189</f>
        <v>29124.302708049232</v>
      </c>
      <c r="S246" s="36">
        <f t="shared" ca="1" si="138"/>
        <v>28541.328302501752</v>
      </c>
      <c r="T246" s="36">
        <f t="shared" ca="1" si="138"/>
        <v>28387.177653531995</v>
      </c>
      <c r="U246" s="36">
        <f t="shared" ca="1" si="138"/>
        <v>29007.559646320806</v>
      </c>
      <c r="V246" s="36"/>
      <c r="W246" s="36"/>
      <c r="X246" s="36"/>
      <c r="Y246" s="36"/>
      <c r="Z246" s="50"/>
    </row>
    <row r="247" spans="1:29" s="3" customFormat="1" ht="14" outlineLevel="1" x14ac:dyDescent="0.2">
      <c r="B247" s="23"/>
      <c r="K247" s="155"/>
      <c r="L247" s="155"/>
      <c r="M247" s="36"/>
      <c r="N247" s="36"/>
      <c r="O247" s="36"/>
      <c r="P247" s="32" t="s">
        <v>132</v>
      </c>
      <c r="Z247" s="65"/>
    </row>
    <row r="248" spans="1:29" s="3" customFormat="1" ht="14" outlineLevel="1" x14ac:dyDescent="0.2">
      <c r="B248" s="58" t="s">
        <v>52</v>
      </c>
      <c r="C248" s="10"/>
      <c r="D248" s="10"/>
      <c r="E248" s="10"/>
      <c r="F248" s="10"/>
      <c r="G248" s="180">
        <f>G246+G238</f>
        <v>7412.4929999999986</v>
      </c>
      <c r="H248" s="180">
        <f t="shared" ref="H248:K248" si="139">H246+H238</f>
        <v>10162.526000000002</v>
      </c>
      <c r="I248" s="180">
        <f t="shared" si="139"/>
        <v>12703.28</v>
      </c>
      <c r="J248" s="180">
        <f t="shared" si="139"/>
        <v>13378.955000000002</v>
      </c>
      <c r="K248" s="182">
        <f t="shared" si="139"/>
        <v>14059.425000000001</v>
      </c>
      <c r="L248" s="131">
        <f>SUM(L238,L246)</f>
        <v>13579.100000000002</v>
      </c>
      <c r="M248" s="97"/>
      <c r="N248" s="36"/>
      <c r="O248" s="36"/>
      <c r="P248" s="32">
        <f>P246+P238</f>
        <v>44148.100000000006</v>
      </c>
      <c r="Q248" s="76">
        <f ca="1">SUM(Q246,Q238)</f>
        <v>44188.412000000004</v>
      </c>
      <c r="R248" s="76">
        <f t="shared" ref="R248:U248" ca="1" si="140">SUM(R246,R238)</f>
        <v>44621.962800000001</v>
      </c>
      <c r="S248" s="76">
        <f t="shared" ca="1" si="140"/>
        <v>45345.151540000006</v>
      </c>
      <c r="T248" s="76">
        <f t="shared" ca="1" si="140"/>
        <v>46583.84631799988</v>
      </c>
      <c r="U248" s="76">
        <f t="shared" ca="1" si="140"/>
        <v>48678.551514918865</v>
      </c>
      <c r="V248" s="76"/>
      <c r="W248" s="76"/>
      <c r="X248" s="76"/>
      <c r="Y248" s="76"/>
      <c r="Z248" s="83"/>
    </row>
    <row r="249" spans="1:29" s="3" customFormat="1" ht="14" outlineLevel="1" x14ac:dyDescent="0.2">
      <c r="L249" s="103"/>
      <c r="M249" s="103"/>
      <c r="N249" s="103"/>
      <c r="O249" s="103"/>
      <c r="P249" s="103"/>
    </row>
    <row r="250" spans="1:29" s="3" customFormat="1" ht="14" outlineLevel="1" x14ac:dyDescent="0.2">
      <c r="B250" s="38" t="s">
        <v>53</v>
      </c>
      <c r="C250" s="38"/>
      <c r="D250" s="38"/>
      <c r="E250" s="38"/>
      <c r="F250" s="38"/>
      <c r="G250" s="95">
        <f t="shared" ref="G250:L250" si="141">G217-G248</f>
        <v>-9.9999999747524271E-4</v>
      </c>
      <c r="H250" s="95">
        <f t="shared" si="141"/>
        <v>4.9999999973806553E-3</v>
      </c>
      <c r="I250" s="95">
        <f t="shared" si="141"/>
        <v>-4.9999999991996447E-3</v>
      </c>
      <c r="J250" s="95">
        <f t="shared" si="141"/>
        <v>-2.0000000040454324E-3</v>
      </c>
      <c r="K250" s="95">
        <f t="shared" si="141"/>
        <v>-4.0000000008149073E-3</v>
      </c>
      <c r="L250" s="95">
        <f t="shared" si="141"/>
        <v>0</v>
      </c>
      <c r="P250" s="95">
        <f>P217-P248</f>
        <v>0</v>
      </c>
      <c r="Q250" s="95">
        <f ca="1">Q217-Q248</f>
        <v>0</v>
      </c>
      <c r="R250" s="95">
        <f t="shared" ref="R250:U250" ca="1" si="142">R217-R248</f>
        <v>0</v>
      </c>
      <c r="S250" s="95">
        <f t="shared" ca="1" si="142"/>
        <v>0</v>
      </c>
      <c r="T250" s="95">
        <f t="shared" ca="1" si="142"/>
        <v>1.2369127944111824E-10</v>
      </c>
      <c r="U250" s="95">
        <f t="shared" ca="1" si="142"/>
        <v>-1.885928213596344E-8</v>
      </c>
      <c r="V250" s="95"/>
      <c r="W250" s="95"/>
      <c r="X250" s="95"/>
      <c r="Y250" s="95"/>
      <c r="Z250" s="95"/>
      <c r="AC250" s="104">
        <f ca="1">SUM(J250:AA250)</f>
        <v>-6.0000187404511962E-3</v>
      </c>
    </row>
    <row r="251" spans="1:29" s="3" customFormat="1" ht="14" outlineLevel="1" x14ac:dyDescent="0.2"/>
    <row r="252" spans="1:29" s="6" customFormat="1" ht="14" x14ac:dyDescent="0.2">
      <c r="A252" s="6" t="s">
        <v>63</v>
      </c>
    </row>
    <row r="253" spans="1:29" s="107" customFormat="1" ht="14" outlineLevel="1" x14ac:dyDescent="0.2"/>
    <row r="254" spans="1:29" s="3" customFormat="1" ht="14" outlineLevel="1" x14ac:dyDescent="0.2">
      <c r="B254" s="107"/>
      <c r="C254" s="107"/>
      <c r="D254" s="107"/>
      <c r="E254" s="107"/>
      <c r="F254" s="107"/>
      <c r="G254" s="107"/>
      <c r="H254" s="108" t="s">
        <v>5</v>
      </c>
      <c r="I254" s="109"/>
      <c r="J254" s="109"/>
      <c r="K254" s="110"/>
      <c r="L254" s="107"/>
      <c r="M254" s="111"/>
      <c r="N254" s="107"/>
      <c r="O254" s="107"/>
      <c r="P254" s="107"/>
      <c r="Q254" s="112" t="s">
        <v>6</v>
      </c>
      <c r="R254" s="113"/>
      <c r="S254" s="113"/>
      <c r="T254" s="113"/>
      <c r="U254" s="113"/>
      <c r="V254" s="113"/>
      <c r="W254" s="113"/>
      <c r="X254" s="113"/>
      <c r="Y254" s="113"/>
      <c r="Z254" s="114"/>
    </row>
    <row r="255" spans="1:29" s="3" customFormat="1" ht="14" outlineLevel="1" x14ac:dyDescent="0.2"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6" t="s">
        <v>7</v>
      </c>
      <c r="N255" s="18"/>
      <c r="O255" s="15"/>
      <c r="P255" s="18"/>
      <c r="Q255" s="115" t="s">
        <v>70</v>
      </c>
      <c r="R255" s="115" t="s">
        <v>71</v>
      </c>
      <c r="S255" s="115" t="s">
        <v>72</v>
      </c>
      <c r="T255" s="115" t="s">
        <v>73</v>
      </c>
      <c r="U255" s="115" t="s">
        <v>74</v>
      </c>
      <c r="V255" s="115"/>
      <c r="W255" s="115"/>
      <c r="X255" s="115"/>
      <c r="Y255" s="115"/>
      <c r="Z255" s="20"/>
    </row>
    <row r="256" spans="1:29" s="3" customFormat="1" ht="14" outlineLevel="1" x14ac:dyDescent="0.2">
      <c r="B256" s="23"/>
      <c r="G256" s="90">
        <v>2017</v>
      </c>
      <c r="H256" s="90">
        <v>2018</v>
      </c>
      <c r="I256" s="90">
        <v>2019</v>
      </c>
      <c r="J256" s="90">
        <v>2020</v>
      </c>
      <c r="K256" s="90">
        <v>2021</v>
      </c>
      <c r="L256" s="25">
        <v>44742</v>
      </c>
      <c r="N256" s="116"/>
      <c r="P256" s="117"/>
      <c r="Q256" s="118">
        <f>Q141</f>
        <v>2023</v>
      </c>
      <c r="R256" s="118">
        <f t="shared" ref="R256:U256" si="143">R141</f>
        <v>2024</v>
      </c>
      <c r="S256" s="118">
        <f t="shared" si="143"/>
        <v>2025</v>
      </c>
      <c r="T256" s="118">
        <f t="shared" si="143"/>
        <v>2026</v>
      </c>
      <c r="U256" s="118">
        <f t="shared" si="143"/>
        <v>2027</v>
      </c>
      <c r="V256" s="118"/>
      <c r="W256" s="118"/>
      <c r="X256" s="118"/>
      <c r="Y256" s="118"/>
      <c r="Z256" s="119"/>
    </row>
    <row r="257" spans="2:26" s="3" customFormat="1" ht="14" outlineLevel="1" x14ac:dyDescent="0.2">
      <c r="B257" s="120" t="s">
        <v>64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214"/>
      <c r="M257" s="121"/>
      <c r="N257" s="122"/>
      <c r="O257" s="121"/>
      <c r="P257" s="122"/>
      <c r="Q257" s="123"/>
      <c r="R257" s="123"/>
      <c r="S257" s="123"/>
      <c r="T257" s="123"/>
      <c r="U257" s="123"/>
      <c r="V257" s="124"/>
      <c r="W257" s="123"/>
      <c r="X257" s="123"/>
      <c r="Y257" s="123"/>
      <c r="Z257" s="125"/>
    </row>
    <row r="258" spans="2:26" s="3" customFormat="1" ht="14" outlineLevel="1" x14ac:dyDescent="0.2">
      <c r="B258" s="23" t="s">
        <v>65</v>
      </c>
      <c r="G258" s="36">
        <f t="shared" ref="G258:L258" si="144">G189</f>
        <v>-107.959</v>
      </c>
      <c r="H258" s="36">
        <f t="shared" si="144"/>
        <v>1205.6200000000001</v>
      </c>
      <c r="I258" s="36">
        <f t="shared" si="144"/>
        <v>1465.6799999999998</v>
      </c>
      <c r="J258" s="36">
        <f t="shared" si="144"/>
        <v>-1135.6400000000001</v>
      </c>
      <c r="K258" s="77">
        <f t="shared" si="144"/>
        <v>-221.44000000000074</v>
      </c>
      <c r="L258" s="32">
        <f t="shared" si="144"/>
        <v>-111.70000000000019</v>
      </c>
      <c r="M258" s="36"/>
      <c r="N258" s="36"/>
      <c r="O258" s="36"/>
      <c r="P258" s="36"/>
      <c r="Q258" s="36">
        <f ca="1">Q189</f>
        <v>-794.76345411269017</v>
      </c>
      <c r="R258" s="36">
        <f ca="1">R189</f>
        <v>-652.73383783808151</v>
      </c>
      <c r="S258" s="36">
        <f ca="1">S189</f>
        <v>-582.97440554748187</v>
      </c>
      <c r="T258" s="36">
        <f ca="1">T189</f>
        <v>-154.15064896975684</v>
      </c>
      <c r="U258" s="36">
        <f ca="1">U189</f>
        <v>620.38199278880984</v>
      </c>
      <c r="V258" s="36"/>
      <c r="W258" s="34"/>
      <c r="X258" s="34"/>
      <c r="Y258" s="34"/>
      <c r="Z258" s="43"/>
    </row>
    <row r="259" spans="2:26" s="3" customFormat="1" ht="14" outlineLevel="1" x14ac:dyDescent="0.2">
      <c r="B259" s="23" t="s">
        <v>111</v>
      </c>
      <c r="G259" s="36">
        <f t="shared" ref="G259:L259" si="145">G162</f>
        <v>299.39999999999998</v>
      </c>
      <c r="H259" s="36">
        <f t="shared" si="145"/>
        <v>313.7</v>
      </c>
      <c r="I259" s="36">
        <f t="shared" si="145"/>
        <v>349.5</v>
      </c>
      <c r="J259" s="36">
        <f t="shared" si="145"/>
        <v>385.8</v>
      </c>
      <c r="K259" s="77">
        <f t="shared" si="145"/>
        <v>424.3</v>
      </c>
      <c r="L259" s="77">
        <f t="shared" si="145"/>
        <v>492.1</v>
      </c>
      <c r="M259" s="36"/>
      <c r="N259" s="36"/>
      <c r="O259" s="36"/>
      <c r="P259" s="36"/>
      <c r="Q259" s="36">
        <f ca="1">Q164</f>
        <v>466.02200000000011</v>
      </c>
      <c r="R259" s="36">
        <f ca="1">R164</f>
        <v>526.55030000000011</v>
      </c>
      <c r="S259" s="36">
        <f ca="1">S164</f>
        <v>665.76539000000002</v>
      </c>
      <c r="T259" s="36">
        <f ca="1">T164</f>
        <v>937.23481550000008</v>
      </c>
      <c r="U259" s="36">
        <f ca="1">U164</f>
        <v>1418.338964025</v>
      </c>
      <c r="V259" s="34"/>
      <c r="W259" s="34"/>
      <c r="X259" s="34"/>
      <c r="Y259" s="34"/>
      <c r="Z259" s="43"/>
    </row>
    <row r="260" spans="2:26" s="3" customFormat="1" ht="14" outlineLevel="1" x14ac:dyDescent="0.2">
      <c r="B260" s="23" t="s">
        <v>159</v>
      </c>
      <c r="G260" s="31">
        <v>2.6680000000000001</v>
      </c>
      <c r="H260" s="31">
        <v>-130.9</v>
      </c>
      <c r="I260" s="31">
        <v>-67</v>
      </c>
      <c r="J260" s="31">
        <v>-188</v>
      </c>
      <c r="K260" s="148">
        <v>-189.9</v>
      </c>
      <c r="L260" s="101">
        <v>-50.3</v>
      </c>
      <c r="M260" s="38"/>
      <c r="N260" s="70"/>
      <c r="O260" s="38"/>
      <c r="P260" s="70"/>
      <c r="Q260" s="34">
        <f ca="1">L204-Q204</f>
        <v>175.06799999999987</v>
      </c>
      <c r="R260" s="34">
        <f t="shared" ref="R260:U261" ca="1" si="146">Q204-R204</f>
        <v>-119.62979999999993</v>
      </c>
      <c r="S260" s="34">
        <f t="shared" ca="1" si="146"/>
        <v>-275.14853999999991</v>
      </c>
      <c r="T260" s="34">
        <f t="shared" ca="1" si="146"/>
        <v>-536.53965300000004</v>
      </c>
      <c r="U260" s="34">
        <f t="shared" ca="1" si="146"/>
        <v>-950.86749614999985</v>
      </c>
      <c r="V260" s="34"/>
      <c r="W260" s="34"/>
      <c r="X260" s="34"/>
      <c r="Y260" s="34"/>
      <c r="Z260" s="43"/>
    </row>
    <row r="261" spans="2:26" s="3" customFormat="1" ht="14" outlineLevel="1" x14ac:dyDescent="0.2">
      <c r="B261" s="99" t="s">
        <v>160</v>
      </c>
      <c r="H261" s="36"/>
      <c r="I261" s="36"/>
      <c r="J261" s="36"/>
      <c r="K261" s="77"/>
      <c r="L261" s="92"/>
      <c r="M261" s="38"/>
      <c r="N261" s="70"/>
      <c r="O261" s="38"/>
      <c r="P261" s="70"/>
      <c r="Q261" s="34">
        <f ca="1">L205-Q205</f>
        <v>29.393999999999977</v>
      </c>
      <c r="R261" s="34">
        <f t="shared" ca="1" si="146"/>
        <v>-20.085899999999981</v>
      </c>
      <c r="S261" s="34">
        <f t="shared" ca="1" si="146"/>
        <v>-46.197570000000013</v>
      </c>
      <c r="T261" s="34">
        <f t="shared" ca="1" si="146"/>
        <v>-90.085261500000001</v>
      </c>
      <c r="U261" s="34">
        <f t="shared" ca="1" si="146"/>
        <v>-159.65110232500001</v>
      </c>
      <c r="V261" s="34"/>
      <c r="W261" s="34"/>
      <c r="X261" s="34"/>
      <c r="Y261" s="34"/>
      <c r="Z261" s="43"/>
    </row>
    <row r="262" spans="2:26" s="3" customFormat="1" ht="14" outlineLevel="1" x14ac:dyDescent="0.2">
      <c r="B262" s="99" t="s">
        <v>161</v>
      </c>
      <c r="H262" s="36"/>
      <c r="I262" s="36"/>
      <c r="J262" s="36"/>
      <c r="K262" s="77"/>
      <c r="L262" s="92"/>
      <c r="M262" s="38"/>
      <c r="N262" s="70"/>
      <c r="O262" s="38"/>
      <c r="P262" s="70"/>
      <c r="Q262" s="34">
        <f ca="1">L207-Q207</f>
        <v>1.6199999999999983</v>
      </c>
      <c r="R262" s="34">
        <f ca="1">Q207-R207</f>
        <v>-1.1069999999999984</v>
      </c>
      <c r="S262" s="34">
        <f ca="1">R207-S207</f>
        <v>-2.5461000000000009</v>
      </c>
      <c r="T262" s="34">
        <f ca="1">S207-T207</f>
        <v>-4.9648950000000003</v>
      </c>
      <c r="U262" s="34">
        <f ca="1">T207-U207</f>
        <v>-8.7988972499999978</v>
      </c>
      <c r="V262" s="34"/>
      <c r="W262" s="34"/>
      <c r="X262" s="34"/>
      <c r="Y262" s="34"/>
      <c r="Z262" s="43"/>
    </row>
    <row r="263" spans="2:26" s="3" customFormat="1" ht="14" outlineLevel="1" x14ac:dyDescent="0.2">
      <c r="B263" s="99" t="s">
        <v>42</v>
      </c>
      <c r="H263" s="31"/>
      <c r="I263" s="31"/>
      <c r="J263" s="31"/>
      <c r="K263" s="148"/>
      <c r="L263" s="53"/>
      <c r="M263" s="38"/>
      <c r="N263" s="70"/>
      <c r="O263" s="38"/>
      <c r="P263" s="70"/>
      <c r="Q263" s="34">
        <f ca="1">Q220-L220</f>
        <v>-50.519121097817049</v>
      </c>
      <c r="R263" s="34">
        <f t="shared" ref="R263:U264" ca="1" si="147">R220-Q220</f>
        <v>19.073632170874632</v>
      </c>
      <c r="S263" s="34">
        <f t="shared" ca="1" si="147"/>
        <v>46.081254194339962</v>
      </c>
      <c r="T263" s="34">
        <f t="shared" ca="1" si="147"/>
        <v>54.63393497280947</v>
      </c>
      <c r="U263" s="34">
        <f t="shared" ca="1" si="147"/>
        <v>100.76127042134385</v>
      </c>
      <c r="V263" s="34"/>
      <c r="W263" s="34"/>
      <c r="X263" s="34"/>
      <c r="Y263" s="34"/>
      <c r="Z263" s="43"/>
    </row>
    <row r="264" spans="2:26" s="3" customFormat="1" ht="14" outlineLevel="1" x14ac:dyDescent="0.2">
      <c r="B264" s="23" t="s">
        <v>162</v>
      </c>
      <c r="H264" s="31"/>
      <c r="I264" s="31"/>
      <c r="J264" s="31"/>
      <c r="K264" s="148"/>
      <c r="L264" s="32"/>
      <c r="M264" s="38"/>
      <c r="N264" s="70"/>
      <c r="O264" s="38"/>
      <c r="P264" s="70"/>
      <c r="Q264" s="34">
        <f ca="1">Q221-L221</f>
        <v>-89.621999999999957</v>
      </c>
      <c r="R264" s="34">
        <f t="shared" ca="1" si="147"/>
        <v>61.241699999999923</v>
      </c>
      <c r="S264" s="34">
        <f t="shared" ca="1" si="147"/>
        <v>140.85590999999999</v>
      </c>
      <c r="T264" s="34">
        <f t="shared" ca="1" si="147"/>
        <v>274.66902449999998</v>
      </c>
      <c r="U264" s="34">
        <f t="shared" ca="1" si="147"/>
        <v>486.7745489749999</v>
      </c>
      <c r="V264" s="34"/>
      <c r="W264" s="34"/>
      <c r="X264" s="34"/>
      <c r="Y264" s="34"/>
      <c r="Z264" s="43"/>
    </row>
    <row r="265" spans="2:26" s="3" customFormat="1" ht="14" outlineLevel="1" x14ac:dyDescent="0.2">
      <c r="B265" s="23" t="s">
        <v>145</v>
      </c>
      <c r="H265" s="31"/>
      <c r="I265" s="31"/>
      <c r="J265" s="31"/>
      <c r="K265" s="148"/>
      <c r="L265" s="32"/>
      <c r="M265" s="38"/>
      <c r="N265" s="70"/>
      <c r="O265" s="38"/>
      <c r="P265" s="70"/>
      <c r="Q265" s="34">
        <f ca="1">Q225-L225</f>
        <v>-23.489999999999981</v>
      </c>
      <c r="R265" s="34">
        <f t="shared" ref="R265:U266" ca="1" si="148">R225-Q225</f>
        <v>16.05149999999999</v>
      </c>
      <c r="S265" s="34">
        <f t="shared" ca="1" si="148"/>
        <v>36.918450000000021</v>
      </c>
      <c r="T265" s="34">
        <f t="shared" ca="1" si="148"/>
        <v>71.990977499999985</v>
      </c>
      <c r="U265" s="34">
        <f t="shared" ca="1" si="148"/>
        <v>127.58401012500002</v>
      </c>
      <c r="V265" s="34"/>
      <c r="W265" s="34"/>
      <c r="X265" s="34"/>
      <c r="Y265" s="34"/>
      <c r="Z265" s="43"/>
    </row>
    <row r="266" spans="2:26" s="3" customFormat="1" ht="14" outlineLevel="1" x14ac:dyDescent="0.2">
      <c r="B266" s="58" t="s">
        <v>143</v>
      </c>
      <c r="C266" s="10"/>
      <c r="D266" s="10"/>
      <c r="E266" s="10"/>
      <c r="F266" s="10"/>
      <c r="G266" s="10"/>
      <c r="H266" s="59"/>
      <c r="I266" s="59"/>
      <c r="J266" s="59"/>
      <c r="K266" s="159"/>
      <c r="L266" s="60"/>
      <c r="M266" s="45"/>
      <c r="N266" s="129"/>
      <c r="O266" s="45"/>
      <c r="P266" s="129"/>
      <c r="Q266" s="61">
        <f ca="1">Q226-L226</f>
        <v>0</v>
      </c>
      <c r="R266" s="61">
        <f t="shared" ca="1" si="148"/>
        <v>0</v>
      </c>
      <c r="S266" s="61">
        <f t="shared" ca="1" si="148"/>
        <v>0</v>
      </c>
      <c r="T266" s="61">
        <f t="shared" ca="1" si="148"/>
        <v>0</v>
      </c>
      <c r="U266" s="61">
        <f t="shared" ca="1" si="148"/>
        <v>0</v>
      </c>
      <c r="V266" s="61"/>
      <c r="W266" s="61"/>
      <c r="X266" s="61"/>
      <c r="Y266" s="61"/>
      <c r="Z266" s="62"/>
    </row>
    <row r="267" spans="2:26" s="3" customFormat="1" ht="14" outlineLevel="1" x14ac:dyDescent="0.2">
      <c r="B267" s="23" t="s">
        <v>66</v>
      </c>
      <c r="H267" s="31"/>
      <c r="I267" s="31"/>
      <c r="J267" s="31"/>
      <c r="K267" s="148"/>
      <c r="L267" s="32"/>
      <c r="M267" s="38"/>
      <c r="N267" s="70"/>
      <c r="O267" s="38"/>
      <c r="P267" s="70"/>
      <c r="Q267" s="34">
        <f ca="1">SUM(Q258:Q266)</f>
        <v>-286.2905752105072</v>
      </c>
      <c r="R267" s="34">
        <f t="shared" ref="R267:U267" ca="1" si="149">SUM(R258:R266)</f>
        <v>-170.63940566720674</v>
      </c>
      <c r="S267" s="34">
        <f t="shared" ca="1" si="149"/>
        <v>-17.245611353141769</v>
      </c>
      <c r="T267" s="34">
        <f t="shared" ca="1" si="149"/>
        <v>552.78829400305267</v>
      </c>
      <c r="U267" s="34">
        <f t="shared" ca="1" si="149"/>
        <v>1634.5232906101537</v>
      </c>
      <c r="V267" s="34"/>
      <c r="W267" s="34"/>
      <c r="X267" s="34"/>
      <c r="Y267" s="34"/>
      <c r="Z267" s="43"/>
    </row>
    <row r="268" spans="2:26" s="3" customFormat="1" ht="14" outlineLevel="1" x14ac:dyDescent="0.2">
      <c r="B268" s="23"/>
      <c r="H268" s="31"/>
      <c r="I268" s="31"/>
      <c r="J268" s="31"/>
      <c r="K268" s="148"/>
      <c r="L268" s="32"/>
      <c r="M268" s="38"/>
      <c r="N268" s="70"/>
      <c r="O268" s="38"/>
      <c r="P268" s="70"/>
      <c r="Q268" s="34"/>
      <c r="R268" s="34"/>
      <c r="S268" s="34"/>
      <c r="T268" s="34"/>
      <c r="U268" s="34"/>
      <c r="V268" s="34"/>
      <c r="W268" s="34"/>
      <c r="X268" s="34"/>
      <c r="Y268" s="34"/>
      <c r="Z268" s="43"/>
    </row>
    <row r="269" spans="2:26" s="3" customFormat="1" ht="14" outlineLevel="1" x14ac:dyDescent="0.2">
      <c r="B269" s="88" t="s">
        <v>67</v>
      </c>
      <c r="H269" s="36"/>
      <c r="I269" s="36"/>
      <c r="J269" s="36"/>
      <c r="K269" s="77"/>
      <c r="L269" s="53"/>
      <c r="M269" s="38"/>
      <c r="N269" s="70"/>
      <c r="O269" s="38"/>
      <c r="P269" s="70"/>
      <c r="Q269" s="34"/>
      <c r="R269" s="34"/>
      <c r="S269" s="34"/>
      <c r="T269" s="34"/>
      <c r="U269" s="34"/>
      <c r="V269" s="34"/>
      <c r="W269" s="34"/>
      <c r="X269" s="34"/>
      <c r="Y269" s="34"/>
      <c r="Z269" s="43"/>
    </row>
    <row r="270" spans="2:26" s="3" customFormat="1" ht="14" outlineLevel="1" x14ac:dyDescent="0.2">
      <c r="B270" s="23" t="s">
        <v>163</v>
      </c>
      <c r="G270" s="31">
        <v>-160.69999999999999</v>
      </c>
      <c r="H270" s="31">
        <v>-483.9</v>
      </c>
      <c r="I270" s="31">
        <v>-540.70000000000005</v>
      </c>
      <c r="J270" s="31">
        <v>-873.4</v>
      </c>
      <c r="K270" s="148">
        <v>-1011.5</v>
      </c>
      <c r="L270" s="148">
        <v>-868.8</v>
      </c>
      <c r="M270" s="38"/>
      <c r="N270" s="70"/>
      <c r="O270" s="38"/>
      <c r="P270" s="70"/>
      <c r="Q270" s="34">
        <f ca="1">-Q271*Q142</f>
        <v>-712.41600000000005</v>
      </c>
      <c r="R270" s="34">
        <f ca="1">-R271*R142</f>
        <v>-819.27839999999992</v>
      </c>
      <c r="S270" s="34">
        <f ca="1">-S271*S142</f>
        <v>-1065.0619199999999</v>
      </c>
      <c r="T270" s="34">
        <f ca="1">-T271*T142</f>
        <v>-1544.3397839999998</v>
      </c>
      <c r="U270" s="34">
        <f ca="1">-U271*U142</f>
        <v>-2393.7266651999998</v>
      </c>
      <c r="V270" s="34"/>
      <c r="W270" s="34"/>
      <c r="X270" s="34"/>
      <c r="Y270" s="34"/>
      <c r="Z270" s="43"/>
    </row>
    <row r="271" spans="2:26" s="3" customFormat="1" ht="14" outlineLevel="1" x14ac:dyDescent="0.2">
      <c r="B271" s="44" t="s">
        <v>164</v>
      </c>
      <c r="C271" s="10"/>
      <c r="D271" s="10"/>
      <c r="E271" s="10"/>
      <c r="F271" s="10"/>
      <c r="G271" s="152">
        <f t="shared" ref="G271:L271" si="150">-G270/G142</f>
        <v>6.5771971399219906E-2</v>
      </c>
      <c r="H271" s="152">
        <f t="shared" si="150"/>
        <v>0.15905415532678577</v>
      </c>
      <c r="I271" s="152">
        <f t="shared" si="150"/>
        <v>0.15630194286176805</v>
      </c>
      <c r="J271" s="152">
        <f t="shared" si="150"/>
        <v>0.23501553944058015</v>
      </c>
      <c r="K271" s="197">
        <f t="shared" si="150"/>
        <v>0.19921299542292636</v>
      </c>
      <c r="L271" s="197">
        <f t="shared" si="150"/>
        <v>0.16615984852831486</v>
      </c>
      <c r="M271" s="45"/>
      <c r="N271" s="129"/>
      <c r="O271" s="45"/>
      <c r="P271" s="129"/>
      <c r="Q271" s="215">
        <f>L271</f>
        <v>0.16615984852831486</v>
      </c>
      <c r="R271" s="215">
        <f>Q271</f>
        <v>0.16615984852831486</v>
      </c>
      <c r="S271" s="215">
        <f t="shared" ref="S271:U271" si="151">R271</f>
        <v>0.16615984852831486</v>
      </c>
      <c r="T271" s="215">
        <f t="shared" si="151"/>
        <v>0.16615984852831486</v>
      </c>
      <c r="U271" s="215">
        <f t="shared" si="151"/>
        <v>0.16615984852831486</v>
      </c>
      <c r="V271" s="61"/>
      <c r="W271" s="61"/>
      <c r="X271" s="61"/>
      <c r="Y271" s="61"/>
      <c r="Z271" s="62"/>
    </row>
    <row r="272" spans="2:26" s="3" customFormat="1" ht="14" outlineLevel="1" x14ac:dyDescent="0.2">
      <c r="B272" s="23" t="s">
        <v>68</v>
      </c>
      <c r="G272" s="150">
        <f>SUM(G270)</f>
        <v>-160.69999999999999</v>
      </c>
      <c r="H272" s="150">
        <f t="shared" ref="H272:L272" si="152">SUM(H270)</f>
        <v>-483.9</v>
      </c>
      <c r="I272" s="150">
        <f t="shared" si="152"/>
        <v>-540.70000000000005</v>
      </c>
      <c r="J272" s="150">
        <f t="shared" si="152"/>
        <v>-873.4</v>
      </c>
      <c r="K272" s="157">
        <f t="shared" si="152"/>
        <v>-1011.5</v>
      </c>
      <c r="L272" s="157">
        <f t="shared" si="152"/>
        <v>-868.8</v>
      </c>
      <c r="M272" s="38"/>
      <c r="N272" s="70"/>
      <c r="O272" s="38"/>
      <c r="P272" s="70"/>
      <c r="Q272" s="186">
        <f ca="1">SUM(Q270)</f>
        <v>-712.41600000000005</v>
      </c>
      <c r="R272" s="186">
        <f t="shared" ref="R272:U272" ca="1" si="153">SUM(R270)</f>
        <v>-819.27839999999992</v>
      </c>
      <c r="S272" s="186">
        <f t="shared" ca="1" si="153"/>
        <v>-1065.0619199999999</v>
      </c>
      <c r="T272" s="186">
        <f t="shared" ca="1" si="153"/>
        <v>-1544.3397839999998</v>
      </c>
      <c r="U272" s="186">
        <f t="shared" ca="1" si="153"/>
        <v>-2393.7266651999998</v>
      </c>
      <c r="V272" s="34"/>
      <c r="W272" s="34"/>
      <c r="X272" s="34"/>
      <c r="Y272" s="34"/>
      <c r="Z272" s="43"/>
    </row>
    <row r="273" spans="1:26" s="3" customFormat="1" ht="14" outlineLevel="1" x14ac:dyDescent="0.2">
      <c r="B273" s="127"/>
      <c r="H273" s="31"/>
      <c r="I273" s="31"/>
      <c r="J273" s="31"/>
      <c r="K273" s="148"/>
      <c r="L273" s="77"/>
      <c r="M273" s="38"/>
      <c r="N273" s="70"/>
      <c r="O273" s="38"/>
      <c r="P273" s="70"/>
      <c r="Q273" s="34"/>
      <c r="R273" s="34"/>
      <c r="S273" s="34"/>
      <c r="T273" s="34"/>
      <c r="U273" s="34"/>
      <c r="V273" s="34"/>
      <c r="W273" s="34"/>
      <c r="X273" s="34"/>
      <c r="Y273" s="34"/>
      <c r="Z273" s="43"/>
    </row>
    <row r="274" spans="1:26" s="3" customFormat="1" ht="14" outlineLevel="1" x14ac:dyDescent="0.2">
      <c r="B274" s="88" t="s">
        <v>165</v>
      </c>
      <c r="C274" s="128"/>
      <c r="H274" s="31"/>
      <c r="I274" s="31"/>
      <c r="J274" s="31"/>
      <c r="K274" s="148"/>
      <c r="L274" s="77"/>
      <c r="M274" s="38"/>
      <c r="N274" s="70"/>
      <c r="O274" s="38"/>
      <c r="P274" s="70"/>
      <c r="Q274" s="216">
        <f ca="1">SUM(Q267,Q272)</f>
        <v>-998.70657521050725</v>
      </c>
      <c r="R274" s="216">
        <f t="shared" ref="R274:U274" ca="1" si="154">SUM(R267,R272)</f>
        <v>-989.91780566720672</v>
      </c>
      <c r="S274" s="216">
        <f t="shared" ca="1" si="154"/>
        <v>-1082.3075313531417</v>
      </c>
      <c r="T274" s="216">
        <f t="shared" ca="1" si="154"/>
        <v>-991.55148999694711</v>
      </c>
      <c r="U274" s="216">
        <f t="shared" ca="1" si="154"/>
        <v>-759.20337458984613</v>
      </c>
      <c r="V274" s="34"/>
      <c r="W274" s="34"/>
      <c r="X274" s="34"/>
      <c r="Y274" s="34"/>
      <c r="Z274" s="43"/>
    </row>
    <row r="275" spans="1:26" s="3" customFormat="1" ht="14" outlineLevel="1" x14ac:dyDescent="0.2">
      <c r="B275" s="126"/>
      <c r="H275" s="31"/>
      <c r="I275" s="31"/>
      <c r="J275" s="31"/>
      <c r="K275" s="148"/>
      <c r="L275" s="77"/>
      <c r="M275" s="38"/>
      <c r="N275" s="70"/>
      <c r="O275" s="38"/>
      <c r="P275" s="70"/>
      <c r="Q275" s="34"/>
      <c r="R275" s="34"/>
      <c r="S275" s="34"/>
      <c r="T275" s="34"/>
      <c r="U275" s="34"/>
      <c r="V275" s="34"/>
      <c r="W275" s="34"/>
      <c r="X275" s="34"/>
      <c r="Y275" s="34"/>
      <c r="Z275" s="43"/>
    </row>
    <row r="276" spans="1:26" s="3" customFormat="1" ht="14" outlineLevel="1" x14ac:dyDescent="0.2">
      <c r="A276" s="65"/>
      <c r="B276" s="89" t="s">
        <v>167</v>
      </c>
      <c r="H276" s="31"/>
      <c r="I276" s="31"/>
      <c r="J276" s="31"/>
      <c r="K276" s="31"/>
      <c r="L276" s="32"/>
      <c r="M276" s="38"/>
      <c r="N276" s="70"/>
      <c r="O276" s="38"/>
      <c r="P276" s="70"/>
      <c r="Q276" s="34"/>
      <c r="R276" s="34"/>
      <c r="S276" s="34"/>
      <c r="T276" s="34"/>
      <c r="U276" s="34"/>
      <c r="V276" s="34"/>
      <c r="W276" s="34"/>
      <c r="X276" s="34"/>
      <c r="Y276" s="34"/>
      <c r="Z276" s="43"/>
    </row>
    <row r="277" spans="1:26" s="3" customFormat="1" ht="14" outlineLevel="1" x14ac:dyDescent="0.2">
      <c r="A277" s="65"/>
      <c r="B277" s="3" t="s">
        <v>171</v>
      </c>
      <c r="H277" s="31"/>
      <c r="I277" s="31"/>
      <c r="J277" s="31"/>
      <c r="K277" s="31"/>
      <c r="L277" s="32"/>
      <c r="M277" s="38"/>
      <c r="N277" s="70"/>
      <c r="O277" s="38"/>
      <c r="P277" s="70"/>
      <c r="Q277" s="34"/>
      <c r="R277" s="34"/>
      <c r="S277" s="34"/>
      <c r="T277" s="34"/>
      <c r="U277" s="34"/>
      <c r="V277" s="34"/>
      <c r="W277" s="34"/>
      <c r="X277" s="34"/>
      <c r="Y277" s="34"/>
      <c r="Z277" s="43"/>
    </row>
    <row r="278" spans="1:26" s="3" customFormat="1" ht="14" outlineLevel="1" x14ac:dyDescent="0.2">
      <c r="A278" s="65"/>
      <c r="B278" s="3" t="s">
        <v>91</v>
      </c>
      <c r="H278" s="31"/>
      <c r="I278" s="31"/>
      <c r="J278" s="31"/>
      <c r="K278" s="31"/>
      <c r="L278" s="32"/>
      <c r="M278" s="38"/>
      <c r="N278" s="70"/>
      <c r="O278" s="38"/>
      <c r="P278" s="70"/>
      <c r="Q278" s="34">
        <f ca="1">Q347</f>
        <v>998.70657521050634</v>
      </c>
      <c r="R278" s="34">
        <f t="shared" ref="R278:U278" ca="1" si="155">R347</f>
        <v>989.91780566720581</v>
      </c>
      <c r="S278" s="34">
        <f t="shared" ca="1" si="155"/>
        <v>1082.3075313531413</v>
      </c>
      <c r="T278" s="34">
        <f t="shared" ca="1" si="155"/>
        <v>991.55148999691437</v>
      </c>
      <c r="U278" s="34">
        <f t="shared" ca="1" si="155"/>
        <v>759.20337459484062</v>
      </c>
      <c r="V278" s="34"/>
      <c r="W278" s="34"/>
      <c r="X278" s="34"/>
      <c r="Y278" s="34"/>
      <c r="Z278" s="43"/>
    </row>
    <row r="279" spans="1:26" s="3" customFormat="1" ht="14" outlineLevel="1" x14ac:dyDescent="0.2">
      <c r="A279" s="65"/>
      <c r="B279" s="3" t="s">
        <v>92</v>
      </c>
      <c r="H279" s="31"/>
      <c r="I279" s="31"/>
      <c r="J279" s="31"/>
      <c r="K279" s="31"/>
      <c r="L279" s="32"/>
      <c r="M279" s="38"/>
      <c r="N279" s="70"/>
      <c r="O279" s="38"/>
      <c r="P279" s="70"/>
      <c r="Q279" s="34">
        <f ca="1">Q355</f>
        <v>0</v>
      </c>
      <c r="R279" s="34">
        <f t="shared" ref="R279:U279" ca="1" si="156">R355</f>
        <v>0</v>
      </c>
      <c r="S279" s="34">
        <f t="shared" ca="1" si="156"/>
        <v>0</v>
      </c>
      <c r="T279" s="34">
        <f t="shared" ca="1" si="156"/>
        <v>-8.7311491370201111E-11</v>
      </c>
      <c r="U279" s="34">
        <f t="shared" ca="1" si="156"/>
        <v>1.3567387213697657E-8</v>
      </c>
      <c r="V279" s="34"/>
      <c r="W279" s="34"/>
      <c r="X279" s="34"/>
      <c r="Y279" s="34"/>
      <c r="Z279" s="43"/>
    </row>
    <row r="280" spans="1:26" s="3" customFormat="1" ht="14" outlineLevel="1" x14ac:dyDescent="0.2">
      <c r="A280" s="65"/>
      <c r="B280" s="3" t="s">
        <v>93</v>
      </c>
      <c r="H280" s="31"/>
      <c r="I280" s="31"/>
      <c r="J280" s="31"/>
      <c r="K280" s="31"/>
      <c r="L280" s="32"/>
      <c r="M280" s="38"/>
      <c r="N280" s="70"/>
      <c r="O280" s="38"/>
      <c r="P280" s="70"/>
      <c r="Q280" s="34">
        <f>Q364</f>
        <v>0</v>
      </c>
      <c r="R280" s="34">
        <f t="shared" ref="R280:U280" si="157">R364</f>
        <v>0</v>
      </c>
      <c r="S280" s="34">
        <f t="shared" si="157"/>
        <v>0</v>
      </c>
      <c r="T280" s="34">
        <f t="shared" si="157"/>
        <v>0</v>
      </c>
      <c r="U280" s="34">
        <f t="shared" si="157"/>
        <v>0</v>
      </c>
      <c r="V280" s="34"/>
      <c r="W280" s="34"/>
      <c r="X280" s="34"/>
      <c r="Y280" s="34"/>
      <c r="Z280" s="43"/>
    </row>
    <row r="281" spans="1:26" s="3" customFormat="1" ht="14" outlineLevel="1" x14ac:dyDescent="0.2">
      <c r="A281" s="65"/>
      <c r="B281" s="3" t="s">
        <v>94</v>
      </c>
      <c r="H281" s="31"/>
      <c r="I281" s="31"/>
      <c r="J281" s="31"/>
      <c r="K281" s="31"/>
      <c r="L281" s="32"/>
      <c r="M281" s="38"/>
      <c r="N281" s="70"/>
      <c r="O281" s="38"/>
      <c r="P281" s="70"/>
      <c r="Q281" s="34">
        <f>Q372</f>
        <v>0</v>
      </c>
      <c r="R281" s="34">
        <f t="shared" ref="R281:U281" si="158">R372</f>
        <v>0</v>
      </c>
      <c r="S281" s="34">
        <f t="shared" si="158"/>
        <v>0</v>
      </c>
      <c r="T281" s="34">
        <f t="shared" si="158"/>
        <v>0</v>
      </c>
      <c r="U281" s="34">
        <f t="shared" si="158"/>
        <v>0</v>
      </c>
      <c r="V281" s="34"/>
      <c r="W281" s="34"/>
      <c r="X281" s="34"/>
      <c r="Y281" s="34"/>
      <c r="Z281" s="43"/>
    </row>
    <row r="282" spans="1:26" s="3" customFormat="1" ht="14" outlineLevel="1" x14ac:dyDescent="0.2">
      <c r="A282" s="65"/>
      <c r="B282" s="3" t="s">
        <v>189</v>
      </c>
      <c r="H282" s="31"/>
      <c r="I282" s="31"/>
      <c r="J282" s="31"/>
      <c r="K282" s="31"/>
      <c r="L282" s="32"/>
      <c r="M282" s="38"/>
      <c r="N282" s="70"/>
      <c r="O282" s="38"/>
      <c r="P282" s="70"/>
      <c r="Q282" s="34">
        <f>Q356</f>
        <v>0</v>
      </c>
      <c r="R282" s="34">
        <f t="shared" ref="R282:U282" si="159">R356</f>
        <v>0</v>
      </c>
      <c r="S282" s="34">
        <f t="shared" si="159"/>
        <v>0</v>
      </c>
      <c r="T282" s="34">
        <f t="shared" si="159"/>
        <v>0</v>
      </c>
      <c r="U282" s="34">
        <f t="shared" si="159"/>
        <v>0</v>
      </c>
      <c r="V282" s="34"/>
      <c r="W282" s="34"/>
      <c r="X282" s="34"/>
      <c r="Y282" s="34"/>
      <c r="Z282" s="43"/>
    </row>
    <row r="283" spans="1:26" s="3" customFormat="1" ht="14" outlineLevel="1" x14ac:dyDescent="0.2">
      <c r="A283" s="65"/>
      <c r="B283" s="10" t="s">
        <v>188</v>
      </c>
      <c r="C283" s="10"/>
      <c r="D283" s="10"/>
      <c r="E283" s="10"/>
      <c r="F283" s="10"/>
      <c r="G283" s="10"/>
      <c r="H283" s="59"/>
      <c r="I283" s="59"/>
      <c r="J283" s="59"/>
      <c r="K283" s="59"/>
      <c r="L283" s="60"/>
      <c r="M283" s="45"/>
      <c r="N283" s="129"/>
      <c r="O283" s="45"/>
      <c r="P283" s="129"/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/>
      <c r="W283" s="61"/>
      <c r="X283" s="61"/>
      <c r="Y283" s="61"/>
      <c r="Z283" s="62"/>
    </row>
    <row r="284" spans="1:26" s="3" customFormat="1" ht="14" outlineLevel="1" x14ac:dyDescent="0.2">
      <c r="A284" s="65"/>
      <c r="B284" s="15" t="s">
        <v>172</v>
      </c>
      <c r="C284" s="15"/>
      <c r="D284" s="15"/>
      <c r="E284" s="15"/>
      <c r="F284" s="15"/>
      <c r="G284" s="15"/>
      <c r="H284" s="193"/>
      <c r="I284" s="193"/>
      <c r="J284" s="193"/>
      <c r="K284" s="193"/>
      <c r="L284" s="63"/>
      <c r="M284" s="121"/>
      <c r="N284" s="122"/>
      <c r="O284" s="38"/>
      <c r="P284" s="70"/>
      <c r="Q284" s="34">
        <f ca="1">SUM(Q276:Q283)</f>
        <v>998.70657521050634</v>
      </c>
      <c r="R284" s="34">
        <f t="shared" ref="R284:U284" ca="1" si="160">SUM(R276:R283)</f>
        <v>989.91780566720581</v>
      </c>
      <c r="S284" s="34">
        <f t="shared" ca="1" si="160"/>
        <v>1082.3075313531413</v>
      </c>
      <c r="T284" s="34">
        <f t="shared" ca="1" si="160"/>
        <v>991.55148999682706</v>
      </c>
      <c r="U284" s="34">
        <f t="shared" ca="1" si="160"/>
        <v>759.20337460840801</v>
      </c>
      <c r="V284" s="217"/>
      <c r="W284" s="217"/>
      <c r="X284" s="217"/>
      <c r="Y284" s="217"/>
      <c r="Z284" s="35"/>
    </row>
    <row r="285" spans="1:26" s="3" customFormat="1" ht="14" outlineLevel="1" x14ac:dyDescent="0.2">
      <c r="A285" s="65"/>
      <c r="B285" s="198"/>
      <c r="H285" s="31"/>
      <c r="I285" s="31"/>
      <c r="J285" s="31"/>
      <c r="K285" s="31"/>
      <c r="L285" s="32"/>
      <c r="M285" s="147"/>
      <c r="N285" s="70"/>
      <c r="O285" s="38"/>
      <c r="P285" s="70"/>
      <c r="Q285" s="34"/>
      <c r="R285" s="34"/>
      <c r="S285" s="34"/>
      <c r="T285" s="34"/>
      <c r="U285" s="34"/>
      <c r="V285" s="34"/>
      <c r="W285" s="34"/>
      <c r="X285" s="34"/>
      <c r="Y285" s="34"/>
      <c r="Z285" s="43"/>
    </row>
    <row r="286" spans="1:26" s="3" customFormat="1" ht="14" outlineLevel="1" x14ac:dyDescent="0.2">
      <c r="A286" s="65"/>
      <c r="B286" s="3" t="s">
        <v>173</v>
      </c>
      <c r="H286" s="31"/>
      <c r="I286" s="31"/>
      <c r="J286" s="31"/>
      <c r="K286" s="148"/>
      <c r="L286" s="32"/>
      <c r="M286" s="147"/>
      <c r="N286" s="70"/>
      <c r="O286" s="38"/>
      <c r="P286" s="70"/>
      <c r="Q286" s="216">
        <f ca="1">ROUND(SUM(Q274,Q284),3)</f>
        <v>0</v>
      </c>
      <c r="R286" s="216">
        <f t="shared" ref="R286:U286" ca="1" si="161">ROUND(SUM(R274,R284),3)</f>
        <v>0</v>
      </c>
      <c r="S286" s="216">
        <f t="shared" ca="1" si="161"/>
        <v>0</v>
      </c>
      <c r="T286" s="216">
        <f t="shared" ca="1" si="161"/>
        <v>0</v>
      </c>
      <c r="U286" s="216">
        <f t="shared" ca="1" si="161"/>
        <v>0</v>
      </c>
      <c r="V286" s="34"/>
      <c r="W286" s="34"/>
      <c r="X286" s="34"/>
      <c r="Y286" s="34"/>
      <c r="Z286" s="43"/>
    </row>
    <row r="287" spans="1:26" s="3" customFormat="1" ht="14" outlineLevel="1" x14ac:dyDescent="0.2">
      <c r="A287" s="65"/>
      <c r="B287" s="3" t="s">
        <v>174</v>
      </c>
      <c r="H287" s="36"/>
      <c r="I287" s="36"/>
      <c r="J287" s="36"/>
      <c r="K287" s="36"/>
      <c r="L287" s="32"/>
      <c r="M287" s="38"/>
      <c r="N287" s="70"/>
      <c r="O287" s="38"/>
      <c r="P287" s="70"/>
      <c r="Q287" s="34">
        <f>P203</f>
        <v>4000.0000000000009</v>
      </c>
      <c r="R287" s="34">
        <f ca="1">Q288</f>
        <v>4000.0000000000009</v>
      </c>
      <c r="S287" s="34">
        <f t="shared" ref="S287:U287" ca="1" si="162">R288</f>
        <v>4000.0000000000009</v>
      </c>
      <c r="T287" s="34">
        <f t="shared" ca="1" si="162"/>
        <v>4000.0000000000009</v>
      </c>
      <c r="U287" s="34">
        <f t="shared" ca="1" si="162"/>
        <v>4000.0000000000009</v>
      </c>
      <c r="V287" s="34"/>
      <c r="W287" s="34"/>
      <c r="X287" s="34"/>
      <c r="Y287" s="34"/>
      <c r="Z287" s="43"/>
    </row>
    <row r="288" spans="1:26" s="3" customFormat="1" ht="14" outlineLevel="1" x14ac:dyDescent="0.2">
      <c r="B288" s="23" t="s">
        <v>175</v>
      </c>
      <c r="H288" s="36"/>
      <c r="I288" s="36"/>
      <c r="J288" s="36"/>
      <c r="K288" s="36"/>
      <c r="L288" s="53"/>
      <c r="M288" s="38"/>
      <c r="N288" s="70"/>
      <c r="O288" s="38"/>
      <c r="P288" s="70"/>
      <c r="Q288" s="36">
        <f ca="1">SUM(Q286:Q287)</f>
        <v>4000.0000000000009</v>
      </c>
      <c r="R288" s="36">
        <f t="shared" ref="R288:U288" ca="1" si="163">SUM(R286:R287)</f>
        <v>4000.0000000000009</v>
      </c>
      <c r="S288" s="36">
        <f t="shared" ca="1" si="163"/>
        <v>4000.0000000000009</v>
      </c>
      <c r="T288" s="36">
        <f t="shared" ca="1" si="163"/>
        <v>4000.0000000000009</v>
      </c>
      <c r="U288" s="36">
        <f t="shared" ca="1" si="163"/>
        <v>4000.0000000000009</v>
      </c>
      <c r="V288" s="89"/>
      <c r="W288" s="95"/>
      <c r="X288" s="95"/>
      <c r="Y288" s="95"/>
      <c r="Z288" s="130"/>
    </row>
    <row r="289" spans="1:26" s="3" customFormat="1" ht="14" outlineLevel="1" x14ac:dyDescent="0.2">
      <c r="A289" s="3" t="s">
        <v>132</v>
      </c>
      <c r="B289" s="194"/>
      <c r="C289" s="10"/>
      <c r="D289" s="10"/>
      <c r="E289" s="10"/>
      <c r="F289" s="10"/>
      <c r="G289" s="10"/>
      <c r="H289" s="76"/>
      <c r="I289" s="76"/>
      <c r="J289" s="76"/>
      <c r="K289" s="76"/>
      <c r="L289" s="102"/>
      <c r="M289" s="45"/>
      <c r="N289" s="129"/>
      <c r="O289" s="45"/>
      <c r="P289" s="129"/>
      <c r="Q289" s="195"/>
      <c r="R289" s="195"/>
      <c r="S289" s="195"/>
      <c r="T289" s="195"/>
      <c r="U289" s="195"/>
      <c r="V289" s="10"/>
      <c r="W289" s="195"/>
      <c r="X289" s="195"/>
      <c r="Y289" s="195"/>
      <c r="Z289" s="196"/>
    </row>
    <row r="290" spans="1:26" s="3" customFormat="1" ht="14" outlineLevel="1" x14ac:dyDescent="0.2">
      <c r="B290" s="36"/>
      <c r="C290" s="36"/>
      <c r="D290" s="36"/>
      <c r="E290" s="36"/>
      <c r="F290" s="36"/>
      <c r="H290" s="36"/>
      <c r="I290" s="36"/>
      <c r="J290" s="36"/>
      <c r="K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s="3" customFormat="1" ht="14" x14ac:dyDescent="0.2">
      <c r="H291" s="36"/>
      <c r="I291" s="36"/>
      <c r="J291" s="36"/>
      <c r="K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s="3" customFormat="1" ht="14" x14ac:dyDescent="0.2">
      <c r="H292" s="36"/>
      <c r="I292" s="36"/>
      <c r="J292" s="36"/>
      <c r="K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s="6" customFormat="1" ht="15" customHeight="1" x14ac:dyDescent="0.2">
      <c r="A293" s="6" t="s">
        <v>215</v>
      </c>
    </row>
    <row r="294" spans="1:26" s="3" customFormat="1" ht="14" x14ac:dyDescent="0.2">
      <c r="H294" s="36"/>
      <c r="I294" s="36"/>
      <c r="J294" s="36"/>
      <c r="K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s="3" customFormat="1" ht="14" x14ac:dyDescent="0.2">
      <c r="B295" s="138" t="s">
        <v>90</v>
      </c>
      <c r="C295" s="208"/>
      <c r="D295" s="209"/>
      <c r="H295" s="36"/>
      <c r="I295" s="138" t="s">
        <v>190</v>
      </c>
      <c r="J295" s="208"/>
      <c r="K295" s="209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s="3" customFormat="1" ht="14" x14ac:dyDescent="0.2">
      <c r="B296" s="99"/>
      <c r="C296" s="100"/>
      <c r="D296" s="222" t="s">
        <v>217</v>
      </c>
      <c r="H296" s="36"/>
      <c r="I296" s="68" t="s">
        <v>223</v>
      </c>
      <c r="J296" s="149"/>
      <c r="K296" s="235">
        <f>U141</f>
        <v>2027</v>
      </c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s="3" customFormat="1" ht="14" x14ac:dyDescent="0.2">
      <c r="B297" s="226" t="s">
        <v>216</v>
      </c>
      <c r="C297" s="220" t="s">
        <v>79</v>
      </c>
      <c r="D297" s="223" t="s">
        <v>16</v>
      </c>
      <c r="H297" s="36"/>
      <c r="I297" s="49" t="s">
        <v>198</v>
      </c>
      <c r="J297" s="36"/>
      <c r="K297" s="233">
        <f>C312/L159</f>
        <v>208.53080568720401</v>
      </c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s="3" customFormat="1" ht="14" x14ac:dyDescent="0.2">
      <c r="B298" s="88" t="s">
        <v>218</v>
      </c>
      <c r="D298" s="65"/>
      <c r="H298" s="36"/>
      <c r="I298" s="84" t="s">
        <v>192</v>
      </c>
      <c r="J298" s="76"/>
      <c r="K298" s="212">
        <f>C33</f>
        <v>20</v>
      </c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s="3" customFormat="1" ht="14" x14ac:dyDescent="0.2">
      <c r="B299" s="23" t="s">
        <v>91</v>
      </c>
      <c r="C299" s="36">
        <f>C74</f>
        <v>0</v>
      </c>
      <c r="D299" s="224">
        <f>C299/$L$159</f>
        <v>0</v>
      </c>
      <c r="H299" s="36"/>
      <c r="I299" s="49" t="s">
        <v>224</v>
      </c>
      <c r="J299" s="36"/>
      <c r="K299" s="52">
        <f ca="1">C396</f>
        <v>0.15037221379133858</v>
      </c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s="3" customFormat="1" ht="14" x14ac:dyDescent="0.2">
      <c r="B300" s="23" t="s">
        <v>219</v>
      </c>
      <c r="C300" s="36">
        <f>C75</f>
        <v>6500</v>
      </c>
      <c r="D300" s="224">
        <f t="shared" ref="D300:D306" si="164">C300/$L$159</f>
        <v>30.805687203791503</v>
      </c>
      <c r="H300" s="36"/>
      <c r="I300" s="84" t="s">
        <v>197</v>
      </c>
      <c r="J300" s="76"/>
      <c r="K300" s="234">
        <f ca="1">C397</f>
        <v>2.0146143164922732</v>
      </c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s="3" customFormat="1" ht="14" x14ac:dyDescent="0.2">
      <c r="B301" s="23" t="s">
        <v>93</v>
      </c>
      <c r="C301" s="36">
        <f>C76</f>
        <v>3000</v>
      </c>
      <c r="D301" s="224">
        <f t="shared" si="164"/>
        <v>14.218009478673</v>
      </c>
      <c r="H301" s="36"/>
      <c r="I301" s="36"/>
      <c r="J301" s="36"/>
      <c r="K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s="3" customFormat="1" ht="14" x14ac:dyDescent="0.2">
      <c r="B302" s="23" t="s">
        <v>187</v>
      </c>
      <c r="C302" s="36">
        <f>C77</f>
        <v>3000</v>
      </c>
      <c r="D302" s="224">
        <f t="shared" si="164"/>
        <v>14.218009478673</v>
      </c>
      <c r="H302" s="36"/>
      <c r="I302" s="36"/>
      <c r="J302" s="36"/>
      <c r="K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s="3" customFormat="1" ht="14" x14ac:dyDescent="0.2">
      <c r="B303" s="88" t="s">
        <v>220</v>
      </c>
      <c r="C303" s="36"/>
      <c r="D303" s="224"/>
      <c r="H303" s="36"/>
      <c r="I303" s="36"/>
      <c r="J303" s="36"/>
      <c r="K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s="3" customFormat="1" ht="14" x14ac:dyDescent="0.2">
      <c r="B304" s="23" t="str">
        <f>B78</f>
        <v>Elon Musk Equity and Others</v>
      </c>
      <c r="C304" s="150">
        <f>C78</f>
        <v>30571.8</v>
      </c>
      <c r="D304" s="224">
        <f t="shared" si="164"/>
        <v>144.89004739336508</v>
      </c>
      <c r="H304" s="36"/>
      <c r="I304" s="36"/>
      <c r="J304" s="36"/>
      <c r="K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2:26" s="3" customFormat="1" ht="14" x14ac:dyDescent="0.2">
      <c r="B305" s="88" t="s">
        <v>83</v>
      </c>
      <c r="D305" s="224"/>
      <c r="H305" s="36"/>
      <c r="I305" s="36"/>
      <c r="J305" s="36"/>
      <c r="K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2:26" s="3" customFormat="1" ht="14" x14ac:dyDescent="0.2">
      <c r="B306" s="58" t="s">
        <v>78</v>
      </c>
      <c r="C306" s="76">
        <f>C79</f>
        <v>6120.7</v>
      </c>
      <c r="D306" s="225">
        <f t="shared" si="164"/>
        <v>29.008056872037944</v>
      </c>
      <c r="H306" s="36"/>
      <c r="I306" s="36"/>
      <c r="J306" s="36"/>
      <c r="K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2:26" s="3" customFormat="1" ht="14" x14ac:dyDescent="0.2">
      <c r="H307" s="36"/>
      <c r="I307" s="36"/>
      <c r="J307" s="36"/>
      <c r="K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2:26" s="3" customFormat="1" ht="14" x14ac:dyDescent="0.2">
      <c r="H308" s="36"/>
      <c r="I308" s="36"/>
      <c r="J308" s="36"/>
      <c r="K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2:26" s="3" customFormat="1" ht="14" x14ac:dyDescent="0.2">
      <c r="B309" s="138" t="s">
        <v>95</v>
      </c>
      <c r="C309" s="208"/>
      <c r="D309" s="208"/>
      <c r="E309" s="232"/>
      <c r="H309" s="36"/>
      <c r="I309" s="36"/>
      <c r="J309" s="36"/>
      <c r="K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2:26" s="3" customFormat="1" ht="14" x14ac:dyDescent="0.2">
      <c r="B310" s="99"/>
      <c r="C310" s="100"/>
      <c r="D310" s="205" t="s">
        <v>217</v>
      </c>
      <c r="E310" s="91"/>
      <c r="H310" s="36"/>
      <c r="I310" s="36"/>
      <c r="J310" s="36"/>
      <c r="K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2:26" s="3" customFormat="1" ht="14" x14ac:dyDescent="0.2">
      <c r="B311" s="226" t="s">
        <v>222</v>
      </c>
      <c r="C311" s="220" t="s">
        <v>79</v>
      </c>
      <c r="D311" s="207" t="s">
        <v>16</v>
      </c>
      <c r="E311" s="72" t="s">
        <v>221</v>
      </c>
      <c r="H311" s="36"/>
      <c r="I311" s="36"/>
      <c r="J311" s="36"/>
      <c r="K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2:26" s="3" customFormat="1" ht="14" x14ac:dyDescent="0.2">
      <c r="B312" s="14" t="s">
        <v>96</v>
      </c>
      <c r="C312" s="36">
        <f>C83</f>
        <v>44000</v>
      </c>
      <c r="D312" s="229">
        <f t="shared" ref="D312:D315" si="165">C312/$L$159</f>
        <v>208.53080568720401</v>
      </c>
      <c r="E312" s="218">
        <f>C312/$C$316</f>
        <v>0.894445291457031</v>
      </c>
      <c r="H312" s="36"/>
      <c r="I312" s="36"/>
      <c r="J312" s="36"/>
      <c r="K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2:26" s="3" customFormat="1" ht="14" x14ac:dyDescent="0.2">
      <c r="B313" s="23" t="s">
        <v>97</v>
      </c>
      <c r="C313" s="36">
        <f>C84</f>
        <v>880</v>
      </c>
      <c r="D313" s="228">
        <f t="shared" si="165"/>
        <v>4.1706161137440807</v>
      </c>
      <c r="E313" s="52">
        <f t="shared" ref="E313:E315" si="166">C313/$C$316</f>
        <v>1.7888905829140621E-2</v>
      </c>
      <c r="H313" s="36"/>
      <c r="I313" s="36"/>
      <c r="J313" s="36"/>
      <c r="K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2:26" s="3" customFormat="1" ht="14" x14ac:dyDescent="0.2">
      <c r="B314" s="23" t="s">
        <v>88</v>
      </c>
      <c r="C314" s="36">
        <f>C85</f>
        <v>312.5</v>
      </c>
      <c r="D314" s="228">
        <f t="shared" si="165"/>
        <v>1.4810426540284376</v>
      </c>
      <c r="E314" s="52">
        <f t="shared" si="166"/>
        <v>6.3525943995527776E-3</v>
      </c>
      <c r="H314" s="36"/>
      <c r="I314" s="36"/>
      <c r="J314" s="36"/>
      <c r="K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2:26" s="3" customFormat="1" ht="14" x14ac:dyDescent="0.2">
      <c r="B315" s="58" t="s">
        <v>170</v>
      </c>
      <c r="C315" s="76">
        <f>C86</f>
        <v>4000</v>
      </c>
      <c r="D315" s="221">
        <f t="shared" si="165"/>
        <v>18.957345971564003</v>
      </c>
      <c r="E315" s="52">
        <f t="shared" si="166"/>
        <v>8.1313208314275548E-2</v>
      </c>
      <c r="H315" s="36"/>
      <c r="I315" s="36"/>
      <c r="J315" s="36"/>
      <c r="K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2:26" s="3" customFormat="1" ht="14" x14ac:dyDescent="0.2">
      <c r="B316" s="227" t="s">
        <v>98</v>
      </c>
      <c r="C316" s="192">
        <f>SUM(C312:C315)</f>
        <v>49192.5</v>
      </c>
      <c r="D316" s="230">
        <f>SUM(D312:D315)</f>
        <v>233.13981042654052</v>
      </c>
      <c r="E316" s="231">
        <f>SUM(E312:E315)</f>
        <v>1</v>
      </c>
      <c r="H316" s="36"/>
      <c r="I316" s="36"/>
      <c r="J316" s="36"/>
      <c r="K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2:26" s="3" customFormat="1" ht="14" x14ac:dyDescent="0.2">
      <c r="H317" s="36"/>
      <c r="I317" s="36"/>
      <c r="J317" s="36"/>
      <c r="K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2:26" s="3" customFormat="1" ht="14" x14ac:dyDescent="0.2">
      <c r="H318" s="36"/>
      <c r="I318" s="36"/>
      <c r="J318" s="36"/>
      <c r="K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2:26" s="3" customFormat="1" ht="14" x14ac:dyDescent="0.2">
      <c r="H319" s="36"/>
      <c r="I319" s="36"/>
      <c r="J319" s="36"/>
      <c r="K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2:26" s="3" customFormat="1" ht="14" x14ac:dyDescent="0.2">
      <c r="H320" s="36"/>
      <c r="I320" s="36"/>
      <c r="J320" s="36"/>
      <c r="K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s="3" customFormat="1" ht="14" x14ac:dyDescent="0.2">
      <c r="H321" s="36"/>
      <c r="I321" s="36"/>
      <c r="J321" s="36"/>
      <c r="K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s="3" customFormat="1" ht="14" x14ac:dyDescent="0.2">
      <c r="H322" s="36"/>
      <c r="I322" s="36"/>
      <c r="J322" s="36"/>
      <c r="K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s="6" customFormat="1" ht="14" x14ac:dyDescent="0.2">
      <c r="A323" s="6" t="s">
        <v>75</v>
      </c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spans="1:26" s="107" customFormat="1" ht="14" outlineLevel="1" x14ac:dyDescent="0.2">
      <c r="Q324" s="133" t="s">
        <v>70</v>
      </c>
      <c r="R324" s="133" t="s">
        <v>71</v>
      </c>
      <c r="S324" s="133" t="s">
        <v>72</v>
      </c>
      <c r="T324" s="133" t="s">
        <v>84</v>
      </c>
      <c r="U324" s="133" t="s">
        <v>74</v>
      </c>
      <c r="V324" s="133"/>
      <c r="W324" s="133"/>
      <c r="X324" s="133"/>
      <c r="Y324" s="133"/>
      <c r="Z324" s="133"/>
    </row>
    <row r="325" spans="1:26" s="107" customFormat="1" ht="14" outlineLevel="1" x14ac:dyDescent="0.2">
      <c r="Q325" s="134">
        <f>Q256</f>
        <v>2023</v>
      </c>
      <c r="R325" s="134">
        <f>R256</f>
        <v>2024</v>
      </c>
      <c r="S325" s="134">
        <f>S256</f>
        <v>2025</v>
      </c>
      <c r="T325" s="134">
        <f>T256</f>
        <v>2026</v>
      </c>
      <c r="U325" s="134">
        <f>U256</f>
        <v>2027</v>
      </c>
      <c r="V325" s="134"/>
      <c r="W325" s="134"/>
      <c r="X325" s="134"/>
      <c r="Y325" s="134"/>
      <c r="Z325" s="134"/>
    </row>
    <row r="326" spans="1:26" s="135" customFormat="1" ht="14" outlineLevel="1" x14ac:dyDescent="0.2">
      <c r="D326" s="54"/>
      <c r="E326" s="54"/>
      <c r="F326" s="54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s="107" customFormat="1" ht="14" outlineLevel="1" x14ac:dyDescent="0.2"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s="3" customFormat="1" ht="14" outlineLevel="1" x14ac:dyDescent="0.2">
      <c r="B328" s="3" t="s">
        <v>66</v>
      </c>
      <c r="Q328" s="36">
        <f ca="1">Q267</f>
        <v>-286.2905752105072</v>
      </c>
      <c r="R328" s="36">
        <f ca="1">R267</f>
        <v>-170.63940566720674</v>
      </c>
      <c r="S328" s="36">
        <f ca="1">S267</f>
        <v>-17.245611353141769</v>
      </c>
      <c r="T328" s="36">
        <f ca="1">T267</f>
        <v>552.78829400305267</v>
      </c>
      <c r="U328" s="36">
        <f ca="1">U267</f>
        <v>1634.5232906101537</v>
      </c>
      <c r="V328" s="36"/>
      <c r="W328" s="36"/>
      <c r="X328" s="36"/>
      <c r="Y328" s="36"/>
      <c r="Z328" s="36"/>
    </row>
    <row r="329" spans="1:26" s="3" customFormat="1" ht="14" outlineLevel="1" x14ac:dyDescent="0.2">
      <c r="B329" s="10" t="s">
        <v>68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76">
        <f ca="1">Q272</f>
        <v>-712.41600000000005</v>
      </c>
      <c r="R329" s="76">
        <f ca="1">R272</f>
        <v>-819.27839999999992</v>
      </c>
      <c r="S329" s="76">
        <f ca="1">S272</f>
        <v>-1065.0619199999999</v>
      </c>
      <c r="T329" s="76">
        <f ca="1">T272</f>
        <v>-1544.3397839999998</v>
      </c>
      <c r="U329" s="76">
        <f ca="1">U272</f>
        <v>-2393.7266651999998</v>
      </c>
      <c r="V329" s="76"/>
      <c r="W329" s="76"/>
      <c r="X329" s="76"/>
      <c r="Y329" s="76"/>
      <c r="Z329" s="76"/>
    </row>
    <row r="330" spans="1:26" s="3" customFormat="1" ht="14" outlineLevel="1" x14ac:dyDescent="0.2">
      <c r="B330" s="3" t="s">
        <v>76</v>
      </c>
      <c r="Q330" s="36">
        <f ca="1">SUM(Q328:Q329)</f>
        <v>-998.70657521050725</v>
      </c>
      <c r="R330" s="36">
        <f t="shared" ref="R330:U330" ca="1" si="167">SUM(R328:R329)</f>
        <v>-989.91780566720672</v>
      </c>
      <c r="S330" s="36">
        <f t="shared" ca="1" si="167"/>
        <v>-1082.3075313531417</v>
      </c>
      <c r="T330" s="36">
        <f t="shared" ca="1" si="167"/>
        <v>-991.55148999694711</v>
      </c>
      <c r="U330" s="36">
        <f t="shared" ca="1" si="167"/>
        <v>-759.20337458984613</v>
      </c>
      <c r="V330" s="36"/>
      <c r="W330" s="36"/>
      <c r="X330" s="36"/>
      <c r="Y330" s="36"/>
      <c r="Z330" s="36"/>
    </row>
    <row r="331" spans="1:26" s="3" customFormat="1" ht="14" outlineLevel="1" x14ac:dyDescent="0.2">
      <c r="B331" s="3" t="s">
        <v>77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/>
      <c r="W331" s="36"/>
      <c r="X331" s="36"/>
      <c r="Y331" s="36"/>
      <c r="Z331" s="36"/>
    </row>
    <row r="332" spans="1:26" s="3" customFormat="1" ht="14" outlineLevel="1" x14ac:dyDescent="0.2">
      <c r="B332" s="3" t="s">
        <v>69</v>
      </c>
      <c r="Q332" s="36">
        <f>Q287</f>
        <v>4000.0000000000009</v>
      </c>
      <c r="R332" s="36">
        <f ca="1">R287</f>
        <v>4000.0000000000009</v>
      </c>
      <c r="S332" s="36">
        <f ca="1">S287</f>
        <v>4000.0000000000009</v>
      </c>
      <c r="T332" s="36">
        <f ca="1">T287</f>
        <v>4000.0000000000009</v>
      </c>
      <c r="U332" s="36">
        <f ca="1">U287</f>
        <v>4000.0000000000009</v>
      </c>
      <c r="V332" s="36"/>
      <c r="W332" s="36"/>
      <c r="X332" s="36"/>
      <c r="Y332" s="36"/>
      <c r="Z332" s="36"/>
    </row>
    <row r="333" spans="1:26" s="3" customFormat="1" ht="14" outlineLevel="1" x14ac:dyDescent="0.2">
      <c r="B333" s="3" t="s">
        <v>170</v>
      </c>
      <c r="Q333" s="36">
        <f>-$C$86</f>
        <v>-4000</v>
      </c>
      <c r="R333" s="36">
        <f t="shared" ref="R333:U333" si="168">-$C$86</f>
        <v>-4000</v>
      </c>
      <c r="S333" s="36">
        <f t="shared" si="168"/>
        <v>-4000</v>
      </c>
      <c r="T333" s="36">
        <f t="shared" si="168"/>
        <v>-4000</v>
      </c>
      <c r="U333" s="36">
        <f t="shared" si="168"/>
        <v>-4000</v>
      </c>
      <c r="V333" s="36"/>
      <c r="W333" s="36"/>
      <c r="X333" s="36"/>
      <c r="Y333" s="36"/>
      <c r="Z333" s="36"/>
    </row>
    <row r="334" spans="1:26" s="3" customFormat="1" ht="14" outlineLevel="1" x14ac:dyDescent="0.2">
      <c r="B334" s="10" t="s">
        <v>188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76">
        <v>0</v>
      </c>
      <c r="R334" s="76">
        <v>0</v>
      </c>
      <c r="S334" s="76">
        <v>0</v>
      </c>
      <c r="T334" s="76">
        <v>0</v>
      </c>
      <c r="U334" s="76">
        <v>0</v>
      </c>
      <c r="V334" s="76"/>
      <c r="W334" s="76"/>
      <c r="X334" s="76"/>
      <c r="Y334" s="76"/>
      <c r="Z334" s="76"/>
    </row>
    <row r="335" spans="1:26" s="3" customFormat="1" ht="14" outlineLevel="1" x14ac:dyDescent="0.2">
      <c r="B335" s="89" t="s">
        <v>176</v>
      </c>
      <c r="Q335" s="36">
        <f ca="1">SUM(Q330:Q334)</f>
        <v>-998.70657521050634</v>
      </c>
      <c r="R335" s="36">
        <f t="shared" ref="R335:U335" ca="1" si="169">SUM(R330:R334)</f>
        <v>-989.91780566720581</v>
      </c>
      <c r="S335" s="36">
        <f t="shared" ca="1" si="169"/>
        <v>-1082.3075313531408</v>
      </c>
      <c r="T335" s="36">
        <f t="shared" ca="1" si="169"/>
        <v>-991.5514899969462</v>
      </c>
      <c r="U335" s="36">
        <f t="shared" ca="1" si="169"/>
        <v>-759.20337458984523</v>
      </c>
      <c r="V335" s="36"/>
      <c r="W335" s="36"/>
      <c r="X335" s="36"/>
      <c r="Y335" s="36"/>
      <c r="Z335" s="36"/>
    </row>
    <row r="336" spans="1:26" s="3" customFormat="1" ht="14" outlineLevel="1" x14ac:dyDescent="0.2">
      <c r="B336" s="10" t="s">
        <v>178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76">
        <f ca="1">Q347</f>
        <v>998.70657521050634</v>
      </c>
      <c r="R336" s="76">
        <f t="shared" ref="R336:U336" ca="1" si="170">R347</f>
        <v>989.91780566720581</v>
      </c>
      <c r="S336" s="76">
        <f t="shared" ca="1" si="170"/>
        <v>1082.3075313531413</v>
      </c>
      <c r="T336" s="76">
        <f t="shared" ca="1" si="170"/>
        <v>991.55148999691437</v>
      </c>
      <c r="U336" s="76">
        <f t="shared" ca="1" si="170"/>
        <v>759.20337459484062</v>
      </c>
      <c r="V336" s="76"/>
      <c r="W336" s="76"/>
      <c r="X336" s="76"/>
      <c r="Y336" s="76"/>
      <c r="Z336" s="76"/>
    </row>
    <row r="337" spans="2:26" s="3" customFormat="1" ht="14" outlineLevel="1" x14ac:dyDescent="0.2">
      <c r="B337" s="89" t="s">
        <v>180</v>
      </c>
      <c r="Q337" s="36">
        <f ca="1">SUM(Q335:Q336)</f>
        <v>0</v>
      </c>
      <c r="R337" s="36">
        <f t="shared" ref="R337:U337" ca="1" si="171">SUM(R335:R336)</f>
        <v>0</v>
      </c>
      <c r="S337" s="36">
        <f t="shared" ca="1" si="171"/>
        <v>0</v>
      </c>
      <c r="T337" s="36">
        <f t="shared" ca="1" si="171"/>
        <v>-3.1832314562052488E-11</v>
      </c>
      <c r="U337" s="36">
        <f t="shared" ca="1" si="171"/>
        <v>4.9953996494878083E-9</v>
      </c>
      <c r="V337" s="36"/>
      <c r="W337" s="36"/>
      <c r="X337" s="36"/>
      <c r="Y337" s="36"/>
      <c r="Z337" s="36"/>
    </row>
    <row r="338" spans="2:26" s="3" customFormat="1" ht="14" outlineLevel="1" x14ac:dyDescent="0.2">
      <c r="B338" s="10" t="s">
        <v>178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76">
        <v>0</v>
      </c>
      <c r="R338" s="76">
        <v>0</v>
      </c>
      <c r="S338" s="76">
        <v>0</v>
      </c>
      <c r="T338" s="76">
        <v>0</v>
      </c>
      <c r="U338" s="76">
        <v>0</v>
      </c>
      <c r="V338" s="76"/>
      <c r="W338" s="76"/>
      <c r="X338" s="76"/>
      <c r="Y338" s="76"/>
      <c r="Z338" s="76"/>
    </row>
    <row r="339" spans="2:26" s="3" customFormat="1" ht="14" outlineLevel="1" x14ac:dyDescent="0.2">
      <c r="B339" s="89" t="s">
        <v>179</v>
      </c>
      <c r="Q339" s="36">
        <f ca="1">SUM(Q337:Q338)</f>
        <v>0</v>
      </c>
      <c r="R339" s="36">
        <f t="shared" ref="R339:U339" ca="1" si="172">SUM(R337:R338)</f>
        <v>0</v>
      </c>
      <c r="S339" s="36">
        <f t="shared" ca="1" si="172"/>
        <v>0</v>
      </c>
      <c r="T339" s="36">
        <f t="shared" ca="1" si="172"/>
        <v>-3.1832314562052488E-11</v>
      </c>
      <c r="U339" s="36">
        <f t="shared" ca="1" si="172"/>
        <v>4.9953996494878083E-9</v>
      </c>
      <c r="V339" s="36"/>
      <c r="W339" s="36"/>
      <c r="X339" s="36"/>
      <c r="Y339" s="36"/>
      <c r="Z339" s="36"/>
    </row>
    <row r="340" spans="2:26" s="3" customFormat="1" ht="14" outlineLevel="1" x14ac:dyDescent="0.2"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2:26" s="3" customFormat="1" ht="14" outlineLevel="1" x14ac:dyDescent="0.2">
      <c r="B341" s="89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2:26" s="3" customFormat="1" ht="14" outlineLevel="1" x14ac:dyDescent="0.2">
      <c r="B342" s="89" t="s">
        <v>26</v>
      </c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131">
        <f ca="1">SUM(Q351,Q360,Q368,Q376)</f>
        <v>-1465.4894677198515</v>
      </c>
      <c r="R342" s="131">
        <f t="shared" ref="R342:U342" ca="1" si="173">SUM(R351,R360,R368,R376)</f>
        <v>-1341.6552738352448</v>
      </c>
      <c r="S342" s="131">
        <f t="shared" ca="1" si="173"/>
        <v>-1339.9118934398409</v>
      </c>
      <c r="T342" s="131">
        <f t="shared" ca="1" si="173"/>
        <v>-1408.7662928519526</v>
      </c>
      <c r="U342" s="131">
        <f t="shared" ca="1" si="173"/>
        <v>-1488.9106285537823</v>
      </c>
      <c r="V342" s="36"/>
      <c r="W342" s="36"/>
      <c r="X342" s="36"/>
      <c r="Y342" s="36"/>
      <c r="Z342" s="36"/>
    </row>
    <row r="343" spans="2:26" s="3" customFormat="1" ht="14" outlineLevel="1" x14ac:dyDescent="0.2">
      <c r="B343" s="89" t="s">
        <v>200</v>
      </c>
      <c r="Q343" s="36">
        <f ca="1">SUM(Q348,Q357,Q365,Q373)</f>
        <v>13498.706575210506</v>
      </c>
      <c r="R343" s="36">
        <f t="shared" ref="R343:U343" ca="1" si="174">SUM(R348,R357,R365,R373)</f>
        <v>14488.624380877713</v>
      </c>
      <c r="S343" s="36">
        <f t="shared" ca="1" si="174"/>
        <v>15570.931912230853</v>
      </c>
      <c r="T343" s="36">
        <f t="shared" ca="1" si="174"/>
        <v>16562.483402227677</v>
      </c>
      <c r="U343" s="36">
        <f t="shared" ca="1" si="174"/>
        <v>17321.686776836505</v>
      </c>
      <c r="V343" s="36"/>
      <c r="W343" s="36"/>
      <c r="X343" s="36"/>
      <c r="Y343" s="36"/>
      <c r="Z343" s="36"/>
    </row>
    <row r="344" spans="2:26" s="3" customFormat="1" ht="14" outlineLevel="1" x14ac:dyDescent="0.2"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2:26" s="3" customFormat="1" ht="14" outlineLevel="1" x14ac:dyDescent="0.2">
      <c r="B345" s="138" t="s">
        <v>91</v>
      </c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40"/>
      <c r="R345" s="140"/>
      <c r="S345" s="140"/>
      <c r="T345" s="140"/>
      <c r="U345" s="140"/>
      <c r="V345" s="140"/>
      <c r="W345" s="140"/>
      <c r="X345" s="140"/>
      <c r="Y345" s="140"/>
      <c r="Z345" s="141"/>
    </row>
    <row r="346" spans="2:26" s="3" customFormat="1" ht="14" outlineLevel="1" x14ac:dyDescent="0.2">
      <c r="B346" s="23" t="s">
        <v>81</v>
      </c>
      <c r="F346" s="142"/>
      <c r="Q346" s="36">
        <f>C74</f>
        <v>0</v>
      </c>
      <c r="R346" s="36">
        <f ca="1">Q348</f>
        <v>998.70657521050634</v>
      </c>
      <c r="S346" s="36">
        <f t="shared" ref="S346:U346" ca="1" si="175">R348</f>
        <v>1988.6243808777122</v>
      </c>
      <c r="T346" s="36">
        <f t="shared" ca="1" si="175"/>
        <v>3070.9319122308534</v>
      </c>
      <c r="U346" s="36">
        <f t="shared" ca="1" si="175"/>
        <v>4062.4834022277673</v>
      </c>
      <c r="V346" s="36"/>
      <c r="W346" s="36"/>
      <c r="X346" s="36"/>
      <c r="Y346" s="36"/>
      <c r="Z346" s="50"/>
    </row>
    <row r="347" spans="2:26" s="3" customFormat="1" ht="14" outlineLevel="1" x14ac:dyDescent="0.2">
      <c r="B347" s="58" t="s">
        <v>177</v>
      </c>
      <c r="C347" s="10"/>
      <c r="D347" s="10"/>
      <c r="E347" s="10"/>
      <c r="F347" s="14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76">
        <f ca="1">-MIN(Q335,Q346)</f>
        <v>998.70657521050634</v>
      </c>
      <c r="R347" s="76">
        <f ca="1">-MIN(R335,R346)</f>
        <v>989.91780566720581</v>
      </c>
      <c r="S347" s="76">
        <f ca="1">-MIN(S335,S346)</f>
        <v>1082.3075313531408</v>
      </c>
      <c r="T347" s="76">
        <f ca="1">-MIN(T335,T346)</f>
        <v>991.5514899969462</v>
      </c>
      <c r="U347" s="76">
        <f ca="1">-MIN(U335,U346)</f>
        <v>759.20337458984523</v>
      </c>
      <c r="V347" s="76"/>
      <c r="W347" s="76"/>
      <c r="X347" s="76"/>
      <c r="Y347" s="76"/>
      <c r="Z347" s="83"/>
    </row>
    <row r="348" spans="2:26" s="3" customFormat="1" ht="14" outlineLevel="1" x14ac:dyDescent="0.2">
      <c r="B348" s="23" t="s">
        <v>82</v>
      </c>
      <c r="F348" s="105"/>
      <c r="Q348" s="36">
        <f ca="1">SUM(Q346:Q347)</f>
        <v>998.70657521050634</v>
      </c>
      <c r="R348" s="36">
        <f t="shared" ref="R348:U348" ca="1" si="176">SUM(R346:R347)</f>
        <v>1988.6243808777122</v>
      </c>
      <c r="S348" s="36">
        <f t="shared" ca="1" si="176"/>
        <v>3070.931912230853</v>
      </c>
      <c r="T348" s="36">
        <f t="shared" ca="1" si="176"/>
        <v>4062.4834022277996</v>
      </c>
      <c r="U348" s="36">
        <f t="shared" ca="1" si="176"/>
        <v>4821.6867768176126</v>
      </c>
      <c r="V348" s="36"/>
      <c r="W348" s="36"/>
      <c r="X348" s="36"/>
      <c r="Y348" s="36"/>
      <c r="Z348" s="50"/>
    </row>
    <row r="349" spans="2:26" s="3" customFormat="1" ht="14" outlineLevel="1" x14ac:dyDescent="0.2">
      <c r="B349" s="23" t="s">
        <v>183</v>
      </c>
      <c r="F349" s="105"/>
      <c r="Q349" s="36">
        <f ca="1">AVERAGE(Q346,Q348)</f>
        <v>499.35328760525317</v>
      </c>
      <c r="R349" s="36">
        <f t="shared" ref="R349:U349" ca="1" si="177">AVERAGE(R346,R348)</f>
        <v>1493.6654780441092</v>
      </c>
      <c r="S349" s="36">
        <f t="shared" ca="1" si="177"/>
        <v>2529.7781465542826</v>
      </c>
      <c r="T349" s="36">
        <f t="shared" ca="1" si="177"/>
        <v>3566.7076572293263</v>
      </c>
      <c r="U349" s="36">
        <f t="shared" ca="1" si="177"/>
        <v>4442.0850895226904</v>
      </c>
      <c r="V349" s="36"/>
      <c r="W349" s="36"/>
      <c r="X349" s="36"/>
      <c r="Y349" s="36"/>
      <c r="Z349" s="50"/>
    </row>
    <row r="350" spans="2:26" s="3" customFormat="1" ht="14" outlineLevel="1" x14ac:dyDescent="0.2">
      <c r="B350" s="23" t="s">
        <v>182</v>
      </c>
      <c r="F350" s="143"/>
      <c r="Q350" s="105">
        <f>C45</f>
        <v>9.3599999999999989E-2</v>
      </c>
      <c r="R350" s="105">
        <f>D45</f>
        <v>7.8100000000000003E-2</v>
      </c>
      <c r="S350" s="105">
        <f>E45</f>
        <v>7.2599999999999998E-2</v>
      </c>
      <c r="T350" s="105">
        <f>F45</f>
        <v>7.22E-2</v>
      </c>
      <c r="U350" s="105">
        <f>G45</f>
        <v>7.3200000000000001E-2</v>
      </c>
      <c r="V350" s="36"/>
      <c r="W350" s="36"/>
      <c r="X350" s="36"/>
      <c r="Y350" s="36"/>
      <c r="Z350" s="50"/>
    </row>
    <row r="351" spans="2:26" s="3" customFormat="1" ht="14" outlineLevel="1" x14ac:dyDescent="0.2">
      <c r="B351" s="58" t="s">
        <v>181</v>
      </c>
      <c r="C351" s="10"/>
      <c r="D351" s="10"/>
      <c r="E351" s="10"/>
      <c r="F351" s="17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76">
        <f ca="1">-Q349*Q350</f>
        <v>-46.739467719851689</v>
      </c>
      <c r="R351" s="76">
        <f t="shared" ref="R351:U351" ca="1" si="178">-R349*R350</f>
        <v>-116.65527383524494</v>
      </c>
      <c r="S351" s="76">
        <f t="shared" ca="1" si="178"/>
        <v>-183.6618934398409</v>
      </c>
      <c r="T351" s="76">
        <f t="shared" ca="1" si="178"/>
        <v>-257.51629285195736</v>
      </c>
      <c r="U351" s="76">
        <f t="shared" ca="1" si="178"/>
        <v>-325.16062855306092</v>
      </c>
      <c r="V351" s="76"/>
      <c r="W351" s="76"/>
      <c r="X351" s="76"/>
      <c r="Y351" s="76"/>
      <c r="Z351" s="83"/>
    </row>
    <row r="352" spans="2:26" s="3" customFormat="1" ht="14" outlineLevel="1" x14ac:dyDescent="0.2"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2:26" s="3" customFormat="1" ht="14" outlineLevel="1" x14ac:dyDescent="0.2">
      <c r="B353" s="138" t="s">
        <v>92</v>
      </c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40"/>
      <c r="R353" s="140"/>
      <c r="S353" s="140"/>
      <c r="T353" s="140"/>
      <c r="U353" s="140"/>
      <c r="V353" s="140"/>
      <c r="W353" s="140"/>
      <c r="X353" s="140"/>
      <c r="Y353" s="140"/>
      <c r="Z353" s="141"/>
    </row>
    <row r="354" spans="2:26" s="3" customFormat="1" ht="14" outlineLevel="1" x14ac:dyDescent="0.2">
      <c r="B354" s="23" t="s">
        <v>81</v>
      </c>
      <c r="F354" s="142"/>
      <c r="Q354" s="36">
        <f>C49</f>
        <v>6500</v>
      </c>
      <c r="R354" s="36">
        <f ca="1">Q357</f>
        <v>6500</v>
      </c>
      <c r="S354" s="36">
        <f t="shared" ref="S354:U354" ca="1" si="179">R357</f>
        <v>6500</v>
      </c>
      <c r="T354" s="36">
        <f t="shared" ca="1" si="179"/>
        <v>6500</v>
      </c>
      <c r="U354" s="36">
        <f t="shared" ca="1" si="179"/>
        <v>6499.9999999999109</v>
      </c>
      <c r="V354" s="36"/>
      <c r="W354" s="36"/>
      <c r="X354" s="36"/>
      <c r="Y354" s="36"/>
      <c r="Z354" s="50"/>
    </row>
    <row r="355" spans="2:26" s="3" customFormat="1" ht="14" outlineLevel="1" x14ac:dyDescent="0.2">
      <c r="B355" s="23" t="s">
        <v>177</v>
      </c>
      <c r="F355" s="142"/>
      <c r="Q355" s="36">
        <f ca="1">-MIN(Q337,Q354)</f>
        <v>0</v>
      </c>
      <c r="R355" s="36">
        <f ca="1">-MIN(R337,R354)</f>
        <v>0</v>
      </c>
      <c r="S355" s="36">
        <f ca="1">-MIN(S337,S354)</f>
        <v>0</v>
      </c>
      <c r="T355" s="36">
        <f ca="1">-MIN(T337,T354)</f>
        <v>3.1832314562052488E-11</v>
      </c>
      <c r="U355" s="36">
        <f ca="1">-MIN(U337,U354)</f>
        <v>-4.9953996494878083E-9</v>
      </c>
      <c r="V355" s="36"/>
      <c r="W355" s="36"/>
      <c r="X355" s="36"/>
      <c r="Y355" s="36"/>
      <c r="Z355" s="50"/>
    </row>
    <row r="356" spans="2:26" s="3" customFormat="1" ht="14" outlineLevel="1" x14ac:dyDescent="0.2">
      <c r="B356" s="58" t="s">
        <v>184</v>
      </c>
      <c r="C356" s="10"/>
      <c r="D356" s="10"/>
      <c r="E356" s="10"/>
      <c r="F356" s="14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76">
        <v>0</v>
      </c>
      <c r="R356" s="76">
        <v>0</v>
      </c>
      <c r="S356" s="76">
        <v>0</v>
      </c>
      <c r="T356" s="76">
        <v>0</v>
      </c>
      <c r="U356" s="76">
        <v>0</v>
      </c>
      <c r="V356" s="76"/>
      <c r="W356" s="76"/>
      <c r="X356" s="76"/>
      <c r="Y356" s="76"/>
      <c r="Z356" s="83"/>
    </row>
    <row r="357" spans="2:26" s="3" customFormat="1" ht="14" outlineLevel="1" x14ac:dyDescent="0.2">
      <c r="B357" s="23" t="s">
        <v>82</v>
      </c>
      <c r="F357" s="105"/>
      <c r="Q357" s="36">
        <f ca="1">SUM(Q354:Q356)</f>
        <v>6500</v>
      </c>
      <c r="R357" s="36">
        <f t="shared" ref="R357:U357" ca="1" si="180">SUM(R354:R356)</f>
        <v>6500</v>
      </c>
      <c r="S357" s="36">
        <f t="shared" ca="1" si="180"/>
        <v>6500</v>
      </c>
      <c r="T357" s="36">
        <f t="shared" ca="1" si="180"/>
        <v>6500.0000000000318</v>
      </c>
      <c r="U357" s="36">
        <f t="shared" ca="1" si="180"/>
        <v>6499.9999999949159</v>
      </c>
      <c r="V357" s="36"/>
      <c r="W357" s="36"/>
      <c r="X357" s="36"/>
      <c r="Y357" s="36"/>
      <c r="Z357" s="50"/>
    </row>
    <row r="358" spans="2:26" s="3" customFormat="1" ht="14" outlineLevel="1" x14ac:dyDescent="0.2">
      <c r="B358" s="23" t="s">
        <v>183</v>
      </c>
      <c r="F358" s="105"/>
      <c r="Q358" s="36">
        <f ca="1">AVERAGE(Q354,Q357)</f>
        <v>6500</v>
      </c>
      <c r="R358" s="36">
        <f t="shared" ref="R358:U358" ca="1" si="181">AVERAGE(R354,R357)</f>
        <v>6500</v>
      </c>
      <c r="S358" s="36">
        <f t="shared" ca="1" si="181"/>
        <v>6500</v>
      </c>
      <c r="T358" s="36">
        <f t="shared" ca="1" si="181"/>
        <v>6500.0000000000164</v>
      </c>
      <c r="U358" s="36">
        <f t="shared" ca="1" si="181"/>
        <v>6499.9999999974134</v>
      </c>
      <c r="V358" s="36"/>
      <c r="W358" s="36"/>
      <c r="X358" s="36"/>
      <c r="Y358" s="36"/>
      <c r="Z358" s="50"/>
    </row>
    <row r="359" spans="2:26" s="3" customFormat="1" ht="14" outlineLevel="1" x14ac:dyDescent="0.2">
      <c r="B359" s="23" t="s">
        <v>185</v>
      </c>
      <c r="F359" s="143"/>
      <c r="Q359" s="105">
        <f>C53</f>
        <v>9.6099999999999991E-2</v>
      </c>
      <c r="R359" s="105">
        <f>D53</f>
        <v>8.0600000000000005E-2</v>
      </c>
      <c r="S359" s="105">
        <f>E53</f>
        <v>7.51E-2</v>
      </c>
      <c r="T359" s="105">
        <f>F53</f>
        <v>7.4700000000000003E-2</v>
      </c>
      <c r="U359" s="105">
        <f>G53</f>
        <v>7.5700000000000003E-2</v>
      </c>
      <c r="V359" s="36"/>
      <c r="W359" s="36"/>
      <c r="X359" s="36"/>
      <c r="Y359" s="36"/>
      <c r="Z359" s="50"/>
    </row>
    <row r="360" spans="2:26" s="3" customFormat="1" ht="14" outlineLevel="1" x14ac:dyDescent="0.2">
      <c r="B360" s="58" t="s">
        <v>186</v>
      </c>
      <c r="C360" s="10"/>
      <c r="D360" s="10"/>
      <c r="E360" s="10"/>
      <c r="F360" s="17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76">
        <f ca="1">-Q358*Q359</f>
        <v>-624.65</v>
      </c>
      <c r="R360" s="76">
        <f t="shared" ref="R360:U360" ca="1" si="182">-R358*R359</f>
        <v>-523.9</v>
      </c>
      <c r="S360" s="76">
        <f t="shared" ca="1" si="182"/>
        <v>-488.15</v>
      </c>
      <c r="T360" s="76">
        <f t="shared" ca="1" si="182"/>
        <v>-485.55000000000126</v>
      </c>
      <c r="U360" s="76">
        <f t="shared" ca="1" si="182"/>
        <v>-492.04999999980424</v>
      </c>
      <c r="V360" s="76"/>
      <c r="W360" s="76"/>
      <c r="X360" s="76"/>
      <c r="Y360" s="76"/>
      <c r="Z360" s="83"/>
    </row>
    <row r="361" spans="2:26" s="3" customFormat="1" ht="14" outlineLevel="1" x14ac:dyDescent="0.2"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2:26" s="3" customFormat="1" ht="14" outlineLevel="1" x14ac:dyDescent="0.2">
      <c r="B362" s="138" t="s">
        <v>93</v>
      </c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40"/>
      <c r="R362" s="140"/>
      <c r="S362" s="140"/>
      <c r="T362" s="140"/>
      <c r="U362" s="140"/>
      <c r="V362" s="140"/>
      <c r="W362" s="140"/>
      <c r="X362" s="140"/>
      <c r="Y362" s="140"/>
      <c r="Z362" s="141"/>
    </row>
    <row r="363" spans="2:26" s="3" customFormat="1" ht="14" outlineLevel="1" x14ac:dyDescent="0.2">
      <c r="B363" s="23" t="s">
        <v>81</v>
      </c>
      <c r="F363" s="142"/>
      <c r="Q363" s="36">
        <f>C76</f>
        <v>3000</v>
      </c>
      <c r="R363" s="36">
        <f>Q365</f>
        <v>3000</v>
      </c>
      <c r="S363" s="36">
        <f t="shared" ref="S363:U363" si="183">R365</f>
        <v>3000</v>
      </c>
      <c r="T363" s="36">
        <f t="shared" si="183"/>
        <v>3000</v>
      </c>
      <c r="U363" s="36">
        <f t="shared" si="183"/>
        <v>3000</v>
      </c>
      <c r="V363" s="36"/>
      <c r="W363" s="36"/>
      <c r="X363" s="36"/>
      <c r="Y363" s="36"/>
      <c r="Z363" s="50"/>
    </row>
    <row r="364" spans="2:26" s="3" customFormat="1" ht="14" outlineLevel="1" x14ac:dyDescent="0.2">
      <c r="B364" s="58" t="s">
        <v>177</v>
      </c>
      <c r="C364" s="10"/>
      <c r="D364" s="10"/>
      <c r="E364" s="10"/>
      <c r="F364" s="14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76">
        <f>-MIN(Q356,Q363)</f>
        <v>0</v>
      </c>
      <c r="R364" s="76">
        <f t="shared" ref="R364:U364" si="184">-MIN(R356,R363)</f>
        <v>0</v>
      </c>
      <c r="S364" s="76">
        <f t="shared" si="184"/>
        <v>0</v>
      </c>
      <c r="T364" s="76">
        <f t="shared" si="184"/>
        <v>0</v>
      </c>
      <c r="U364" s="76">
        <f t="shared" si="184"/>
        <v>0</v>
      </c>
      <c r="V364" s="76"/>
      <c r="W364" s="76"/>
      <c r="X364" s="76"/>
      <c r="Y364" s="76"/>
      <c r="Z364" s="83"/>
    </row>
    <row r="365" spans="2:26" s="3" customFormat="1" ht="14" outlineLevel="1" x14ac:dyDescent="0.2">
      <c r="B365" s="23" t="s">
        <v>82</v>
      </c>
      <c r="F365" s="105"/>
      <c r="Q365" s="36">
        <f>SUM(Q363:Q364)</f>
        <v>3000</v>
      </c>
      <c r="R365" s="36">
        <f t="shared" ref="R365" si="185">SUM(R363:R364)</f>
        <v>3000</v>
      </c>
      <c r="S365" s="36">
        <f t="shared" ref="S365" si="186">SUM(S363:S364)</f>
        <v>3000</v>
      </c>
      <c r="T365" s="36">
        <f t="shared" ref="T365" si="187">SUM(T363:T364)</f>
        <v>3000</v>
      </c>
      <c r="U365" s="36">
        <f t="shared" ref="U365" si="188">SUM(U363:U364)</f>
        <v>3000</v>
      </c>
      <c r="V365" s="36"/>
      <c r="W365" s="36"/>
      <c r="X365" s="36"/>
      <c r="Y365" s="36"/>
      <c r="Z365" s="50"/>
    </row>
    <row r="366" spans="2:26" s="3" customFormat="1" ht="14" outlineLevel="1" x14ac:dyDescent="0.2">
      <c r="B366" s="23" t="s">
        <v>183</v>
      </c>
      <c r="F366" s="105"/>
      <c r="Q366" s="36">
        <f>AVERAGE(Q363,Q365)</f>
        <v>3000</v>
      </c>
      <c r="R366" s="36">
        <f t="shared" ref="R366:U366" si="189">AVERAGE(R363,R365)</f>
        <v>3000</v>
      </c>
      <c r="S366" s="36">
        <f t="shared" si="189"/>
        <v>3000</v>
      </c>
      <c r="T366" s="36">
        <f t="shared" si="189"/>
        <v>3000</v>
      </c>
      <c r="U366" s="36">
        <f t="shared" si="189"/>
        <v>3000</v>
      </c>
      <c r="V366" s="36"/>
      <c r="W366" s="36"/>
      <c r="X366" s="36"/>
      <c r="Y366" s="36"/>
      <c r="Z366" s="50"/>
    </row>
    <row r="367" spans="2:26" s="3" customFormat="1" ht="14" outlineLevel="1" x14ac:dyDescent="0.2">
      <c r="B367" s="23" t="s">
        <v>182</v>
      </c>
      <c r="F367" s="143"/>
      <c r="Q367" s="105">
        <f>C61</f>
        <v>0.11610000000000001</v>
      </c>
      <c r="R367" s="105">
        <f>D61</f>
        <v>0.10059999999999999</v>
      </c>
      <c r="S367" s="105">
        <f>E61</f>
        <v>9.5100000000000004E-2</v>
      </c>
      <c r="T367" s="105">
        <f>F61</f>
        <v>9.4700000000000006E-2</v>
      </c>
      <c r="U367" s="105">
        <f>G61</f>
        <v>9.5700000000000007E-2</v>
      </c>
      <c r="V367" s="36"/>
      <c r="W367" s="36"/>
      <c r="X367" s="36"/>
      <c r="Y367" s="36"/>
      <c r="Z367" s="50"/>
    </row>
    <row r="368" spans="2:26" s="3" customFormat="1" ht="14" outlineLevel="1" x14ac:dyDescent="0.2">
      <c r="B368" s="58" t="s">
        <v>181</v>
      </c>
      <c r="C368" s="10"/>
      <c r="D368" s="10"/>
      <c r="E368" s="10"/>
      <c r="F368" s="17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76">
        <f>-Q366*Q367</f>
        <v>-348.3</v>
      </c>
      <c r="R368" s="76">
        <f t="shared" ref="R368:U368" si="190">-R366*R367</f>
        <v>-301.8</v>
      </c>
      <c r="S368" s="76">
        <f t="shared" si="190"/>
        <v>-285.3</v>
      </c>
      <c r="T368" s="76">
        <f t="shared" si="190"/>
        <v>-284.10000000000002</v>
      </c>
      <c r="U368" s="76">
        <f t="shared" si="190"/>
        <v>-287.10000000000002</v>
      </c>
      <c r="V368" s="76"/>
      <c r="W368" s="76"/>
      <c r="X368" s="76"/>
      <c r="Y368" s="76"/>
      <c r="Z368" s="83"/>
    </row>
    <row r="369" spans="1:26" s="3" customFormat="1" ht="14" outlineLevel="1" x14ac:dyDescent="0.2"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s="3" customFormat="1" ht="14" outlineLevel="1" x14ac:dyDescent="0.2">
      <c r="B370" s="138" t="s">
        <v>187</v>
      </c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40"/>
      <c r="R370" s="140"/>
      <c r="S370" s="140"/>
      <c r="T370" s="140"/>
      <c r="U370" s="140"/>
      <c r="V370" s="140"/>
      <c r="W370" s="140"/>
      <c r="X370" s="140"/>
      <c r="Y370" s="140"/>
      <c r="Z370" s="141"/>
    </row>
    <row r="371" spans="1:26" s="3" customFormat="1" ht="14" outlineLevel="1" x14ac:dyDescent="0.2">
      <c r="B371" s="23" t="s">
        <v>81</v>
      </c>
      <c r="F371" s="142"/>
      <c r="Q371" s="36">
        <f>C65</f>
        <v>3000</v>
      </c>
      <c r="R371" s="36">
        <f>Q373</f>
        <v>3000</v>
      </c>
      <c r="S371" s="36">
        <f t="shared" ref="S371:U371" si="191">R373</f>
        <v>3000</v>
      </c>
      <c r="T371" s="36">
        <f t="shared" si="191"/>
        <v>3000</v>
      </c>
      <c r="U371" s="36">
        <f t="shared" si="191"/>
        <v>3000</v>
      </c>
      <c r="V371" s="36"/>
      <c r="W371" s="36"/>
      <c r="X371" s="36"/>
      <c r="Y371" s="36"/>
      <c r="Z371" s="50"/>
    </row>
    <row r="372" spans="1:26" s="3" customFormat="1" ht="14" outlineLevel="1" x14ac:dyDescent="0.2">
      <c r="B372" s="58" t="s">
        <v>177</v>
      </c>
      <c r="C372" s="10"/>
      <c r="D372" s="10"/>
      <c r="E372" s="10"/>
      <c r="F372" s="14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76">
        <f>-MIN(Q364,Q371)</f>
        <v>0</v>
      </c>
      <c r="R372" s="76">
        <f t="shared" ref="R372:U372" si="192">-MIN(R364,R371)</f>
        <v>0</v>
      </c>
      <c r="S372" s="76">
        <f t="shared" si="192"/>
        <v>0</v>
      </c>
      <c r="T372" s="76">
        <f t="shared" si="192"/>
        <v>0</v>
      </c>
      <c r="U372" s="76">
        <f t="shared" si="192"/>
        <v>0</v>
      </c>
      <c r="V372" s="76"/>
      <c r="W372" s="76"/>
      <c r="X372" s="76"/>
      <c r="Y372" s="76"/>
      <c r="Z372" s="83"/>
    </row>
    <row r="373" spans="1:26" s="3" customFormat="1" ht="14" outlineLevel="1" x14ac:dyDescent="0.2">
      <c r="B373" s="23" t="s">
        <v>82</v>
      </c>
      <c r="F373" s="105"/>
      <c r="Q373" s="36">
        <f>SUM(Q371:Q372)</f>
        <v>3000</v>
      </c>
      <c r="R373" s="36">
        <f t="shared" ref="R373:U373" si="193">SUM(R371:R372)</f>
        <v>3000</v>
      </c>
      <c r="S373" s="36">
        <f t="shared" si="193"/>
        <v>3000</v>
      </c>
      <c r="T373" s="36">
        <f t="shared" si="193"/>
        <v>3000</v>
      </c>
      <c r="U373" s="36">
        <f t="shared" si="193"/>
        <v>3000</v>
      </c>
      <c r="V373" s="36"/>
      <c r="W373" s="36"/>
      <c r="X373" s="36"/>
      <c r="Y373" s="36"/>
      <c r="Z373" s="50"/>
    </row>
    <row r="374" spans="1:26" s="3" customFormat="1" ht="14" outlineLevel="1" x14ac:dyDescent="0.2">
      <c r="B374" s="23" t="s">
        <v>183</v>
      </c>
      <c r="F374" s="105"/>
      <c r="Q374" s="36">
        <f>AVERAGE(Q371,Q373)</f>
        <v>3000</v>
      </c>
      <c r="R374" s="36">
        <f t="shared" ref="R374:U374" si="194">AVERAGE(R371,R373)</f>
        <v>3000</v>
      </c>
      <c r="S374" s="36">
        <f t="shared" si="194"/>
        <v>3000</v>
      </c>
      <c r="T374" s="36">
        <f t="shared" si="194"/>
        <v>3000</v>
      </c>
      <c r="U374" s="36">
        <f t="shared" si="194"/>
        <v>3000</v>
      </c>
      <c r="V374" s="36"/>
      <c r="W374" s="36"/>
      <c r="X374" s="36"/>
      <c r="Y374" s="36"/>
      <c r="Z374" s="50"/>
    </row>
    <row r="375" spans="1:26" s="3" customFormat="1" ht="14" outlineLevel="1" x14ac:dyDescent="0.2">
      <c r="B375" s="23" t="s">
        <v>182</v>
      </c>
      <c r="F375" s="143"/>
      <c r="Q375" s="105">
        <f>C69</f>
        <v>0.14860000000000001</v>
      </c>
      <c r="R375" s="105">
        <f>D69</f>
        <v>0.1331</v>
      </c>
      <c r="S375" s="105">
        <f>E69</f>
        <v>0.12759999999999999</v>
      </c>
      <c r="T375" s="105">
        <f>F69</f>
        <v>0.12720000000000001</v>
      </c>
      <c r="U375" s="105">
        <f>G69</f>
        <v>0.12820000000000001</v>
      </c>
      <c r="V375" s="36"/>
      <c r="W375" s="36"/>
      <c r="X375" s="36"/>
      <c r="Y375" s="36"/>
      <c r="Z375" s="50"/>
    </row>
    <row r="376" spans="1:26" s="3" customFormat="1" ht="14" outlineLevel="1" x14ac:dyDescent="0.2">
      <c r="B376" s="58" t="s">
        <v>181</v>
      </c>
      <c r="C376" s="10"/>
      <c r="D376" s="10"/>
      <c r="E376" s="10"/>
      <c r="F376" s="17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76">
        <f>-Q374*Q375</f>
        <v>-445.8</v>
      </c>
      <c r="R376" s="76">
        <f t="shared" ref="R376:U376" si="195">-R374*R375</f>
        <v>-399.3</v>
      </c>
      <c r="S376" s="76">
        <f t="shared" si="195"/>
        <v>-382.79999999999995</v>
      </c>
      <c r="T376" s="76">
        <f t="shared" si="195"/>
        <v>-381.6</v>
      </c>
      <c r="U376" s="76">
        <f t="shared" si="195"/>
        <v>-384.6</v>
      </c>
      <c r="V376" s="76"/>
      <c r="W376" s="76"/>
      <c r="X376" s="76"/>
      <c r="Y376" s="76"/>
      <c r="Z376" s="83"/>
    </row>
    <row r="377" spans="1:26" s="3" customFormat="1" ht="14" outlineLevel="1" x14ac:dyDescent="0.2"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s="3" customFormat="1" ht="14" outlineLevel="1" x14ac:dyDescent="0.2"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s="3" customFormat="1" ht="14" outlineLevel="1" x14ac:dyDescent="0.2"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s="3" customFormat="1" ht="14" outlineLevel="1" x14ac:dyDescent="0.2"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s="3" customFormat="1" ht="14" outlineLevel="1" x14ac:dyDescent="0.2"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s="1" customFormat="1" x14ac:dyDescent="0.2"/>
    <row r="383" spans="1:26" s="1" customFormat="1" x14ac:dyDescent="0.2"/>
    <row r="384" spans="1:26" s="5" customFormat="1" ht="14" x14ac:dyDescent="0.2">
      <c r="A384" s="6" t="s">
        <v>243</v>
      </c>
    </row>
    <row r="385" spans="2:3" s="1" customFormat="1" x14ac:dyDescent="0.2"/>
    <row r="386" spans="2:3" s="1" customFormat="1" x14ac:dyDescent="0.2"/>
    <row r="387" spans="2:3" s="1" customFormat="1" x14ac:dyDescent="0.2">
      <c r="B387" s="211" t="s">
        <v>191</v>
      </c>
      <c r="C387" s="141"/>
    </row>
    <row r="388" spans="2:3" s="1" customFormat="1" x14ac:dyDescent="0.2">
      <c r="B388" s="68" t="s">
        <v>89</v>
      </c>
      <c r="C388" s="69">
        <f ca="1">U159</f>
        <v>3745.6036368854989</v>
      </c>
    </row>
    <row r="389" spans="2:3" s="1" customFormat="1" x14ac:dyDescent="0.2">
      <c r="B389" s="84" t="s">
        <v>192</v>
      </c>
      <c r="C389" s="212">
        <f>C33</f>
        <v>20</v>
      </c>
    </row>
    <row r="390" spans="2:3" s="1" customFormat="1" x14ac:dyDescent="0.2">
      <c r="B390" s="49" t="s">
        <v>193</v>
      </c>
      <c r="C390" s="50">
        <f ca="1">C388*C389</f>
        <v>74912.072737709983</v>
      </c>
    </row>
    <row r="391" spans="2:3" s="1" customFormat="1" x14ac:dyDescent="0.2">
      <c r="B391" s="84" t="s">
        <v>199</v>
      </c>
      <c r="C391" s="83">
        <f ca="1">-U343+U203</f>
        <v>-13321.686776836505</v>
      </c>
    </row>
    <row r="392" spans="2:3" s="1" customFormat="1" x14ac:dyDescent="0.2">
      <c r="B392" s="68" t="s">
        <v>194</v>
      </c>
      <c r="C392" s="69">
        <f ca="1">C390+C391</f>
        <v>61590.385960873478</v>
      </c>
    </row>
    <row r="393" spans="2:3" s="1" customFormat="1" x14ac:dyDescent="0.2">
      <c r="B393" s="84" t="s">
        <v>201</v>
      </c>
      <c r="C393" s="83">
        <f>C78</f>
        <v>30571.8</v>
      </c>
    </row>
    <row r="394" spans="2:3" s="1" customFormat="1" x14ac:dyDescent="0.2">
      <c r="B394" s="3"/>
      <c r="C394" s="3"/>
    </row>
    <row r="395" spans="2:3" s="1" customFormat="1" x14ac:dyDescent="0.2">
      <c r="B395" s="211" t="s">
        <v>195</v>
      </c>
      <c r="C395" s="141"/>
    </row>
    <row r="396" spans="2:3" s="1" customFormat="1" x14ac:dyDescent="0.2">
      <c r="B396" s="68" t="s">
        <v>196</v>
      </c>
      <c r="C396" s="218">
        <f ca="1">C397^(1/5)-1</f>
        <v>0.15037221379199783</v>
      </c>
    </row>
    <row r="397" spans="2:3" s="1" customFormat="1" x14ac:dyDescent="0.2">
      <c r="B397" s="84" t="s">
        <v>197</v>
      </c>
      <c r="C397" s="333">
        <f ca="1">C392/C393</f>
        <v>2.0146143164901473</v>
      </c>
    </row>
    <row r="398" spans="2:3" s="1" customFormat="1" x14ac:dyDescent="0.2"/>
    <row r="399" spans="2:3" s="1" customFormat="1" x14ac:dyDescent="0.2"/>
    <row r="400" spans="2:3" s="1" customFormat="1" x14ac:dyDescent="0.2"/>
    <row r="401" spans="1:13" s="1" customFormat="1" x14ac:dyDescent="0.2"/>
    <row r="402" spans="1:13" s="6" customFormat="1" ht="14" x14ac:dyDescent="0.2">
      <c r="A402" s="6" t="s">
        <v>244</v>
      </c>
    </row>
    <row r="403" spans="1:13" s="3" customFormat="1" ht="14" x14ac:dyDescent="0.2"/>
    <row r="404" spans="1:13" s="3" customFormat="1" ht="14" x14ac:dyDescent="0.2">
      <c r="H404" s="16" t="s">
        <v>7</v>
      </c>
      <c r="I404" s="115" t="s">
        <v>70</v>
      </c>
      <c r="J404" s="115" t="s">
        <v>71</v>
      </c>
      <c r="K404" s="115" t="s">
        <v>72</v>
      </c>
      <c r="L404" s="115" t="s">
        <v>73</v>
      </c>
      <c r="M404" s="115" t="s">
        <v>74</v>
      </c>
    </row>
    <row r="405" spans="1:13" s="3" customFormat="1" ht="14" x14ac:dyDescent="0.2">
      <c r="C405" s="24">
        <v>2017</v>
      </c>
      <c r="D405" s="24">
        <v>2018</v>
      </c>
      <c r="E405" s="24">
        <v>2019</v>
      </c>
      <c r="F405" s="24">
        <v>2020</v>
      </c>
      <c r="G405" s="24">
        <v>2021</v>
      </c>
      <c r="H405" s="25">
        <v>44742</v>
      </c>
      <c r="I405" s="118">
        <f>Q325</f>
        <v>2023</v>
      </c>
      <c r="J405" s="118">
        <f>R325</f>
        <v>2024</v>
      </c>
      <c r="K405" s="118">
        <f>S325</f>
        <v>2025</v>
      </c>
      <c r="L405" s="118">
        <f>T325</f>
        <v>2026</v>
      </c>
      <c r="M405" s="118">
        <f>U325</f>
        <v>2027</v>
      </c>
    </row>
    <row r="406" spans="1:13" s="3" customFormat="1" ht="14" x14ac:dyDescent="0.2">
      <c r="B406" s="3" t="s">
        <v>35</v>
      </c>
      <c r="C406" s="36">
        <f t="shared" ref="C406:H407" si="196">G204</f>
        <v>664.3</v>
      </c>
      <c r="D406" s="36">
        <f t="shared" si="196"/>
        <v>788.7</v>
      </c>
      <c r="E406" s="36">
        <f t="shared" si="196"/>
        <v>850.18399999999997</v>
      </c>
      <c r="F406" s="36">
        <f t="shared" si="196"/>
        <v>1041.7429999999999</v>
      </c>
      <c r="G406" s="36">
        <f t="shared" si="196"/>
        <v>1217.404</v>
      </c>
      <c r="H406" s="36">
        <f t="shared" si="196"/>
        <v>972.6</v>
      </c>
      <c r="I406" s="36">
        <f ca="1">I420*I423/365</f>
        <v>797.53200000000015</v>
      </c>
      <c r="J406" s="36">
        <f ca="1">J420*J423/365</f>
        <v>917.16180000000008</v>
      </c>
      <c r="K406" s="36">
        <f ca="1">K420*K423/365</f>
        <v>1192.31034</v>
      </c>
      <c r="L406" s="36">
        <f ca="1">L420*L423/365</f>
        <v>1728.849993</v>
      </c>
      <c r="M406" s="36">
        <f ca="1">M420*M423/365</f>
        <v>2679.7174891499999</v>
      </c>
    </row>
    <row r="407" spans="1:13" s="3" customFormat="1" ht="14" x14ac:dyDescent="0.2">
      <c r="B407" s="3" t="s">
        <v>139</v>
      </c>
      <c r="C407" s="36">
        <f t="shared" si="196"/>
        <v>243.988</v>
      </c>
      <c r="D407" s="36">
        <f t="shared" si="196"/>
        <v>109.9</v>
      </c>
      <c r="E407" s="36">
        <f t="shared" si="196"/>
        <v>125.2</v>
      </c>
      <c r="F407" s="36">
        <f t="shared" si="196"/>
        <v>115.2</v>
      </c>
      <c r="G407" s="36">
        <f t="shared" si="196"/>
        <v>250.5</v>
      </c>
      <c r="H407" s="36">
        <f t="shared" si="196"/>
        <v>163.30000000000001</v>
      </c>
      <c r="I407" s="150">
        <f ca="1">I420*I424</f>
        <v>133.90600000000003</v>
      </c>
      <c r="J407" s="150">
        <f ca="1">J420*J424</f>
        <v>153.99190000000002</v>
      </c>
      <c r="K407" s="150">
        <f ca="1">K420*K424</f>
        <v>200.18947000000003</v>
      </c>
      <c r="L407" s="150">
        <f ca="1">L420*L424</f>
        <v>290.27473150000003</v>
      </c>
      <c r="M407" s="150">
        <f ca="1">M420*M424</f>
        <v>449.92583382500004</v>
      </c>
    </row>
    <row r="408" spans="1:13" s="3" customFormat="1" ht="14" x14ac:dyDescent="0.2">
      <c r="B408" s="10" t="s">
        <v>36</v>
      </c>
      <c r="C408" s="76">
        <f t="shared" ref="C408:H408" si="197">G207</f>
        <v>2.2000000000000002</v>
      </c>
      <c r="D408" s="76">
        <f t="shared" si="197"/>
        <v>1.3</v>
      </c>
      <c r="E408" s="76">
        <f t="shared" si="197"/>
        <v>3.8</v>
      </c>
      <c r="F408" s="76">
        <f t="shared" si="197"/>
        <v>5.5</v>
      </c>
      <c r="G408" s="76">
        <f t="shared" si="197"/>
        <v>48.6</v>
      </c>
      <c r="H408" s="76">
        <f t="shared" si="197"/>
        <v>9</v>
      </c>
      <c r="I408" s="165">
        <f ca="1">I420*I425</f>
        <v>7.3800000000000017</v>
      </c>
      <c r="J408" s="165">
        <f ca="1">J420*J425</f>
        <v>8.4870000000000001</v>
      </c>
      <c r="K408" s="165">
        <f ca="1">K420*K425</f>
        <v>11.033100000000001</v>
      </c>
      <c r="L408" s="165">
        <f ca="1">L420*L425</f>
        <v>15.997995000000001</v>
      </c>
      <c r="M408" s="165">
        <f ca="1">M420*M425</f>
        <v>24.796892249999999</v>
      </c>
    </row>
    <row r="409" spans="1:13" s="3" customFormat="1" ht="14" x14ac:dyDescent="0.2">
      <c r="B409" s="89" t="s">
        <v>146</v>
      </c>
      <c r="C409" s="131">
        <f>SUM(C406:C408)</f>
        <v>910.48800000000006</v>
      </c>
      <c r="D409" s="131">
        <f t="shared" ref="D409:H409" si="198">SUM(D406:D408)</f>
        <v>899.9</v>
      </c>
      <c r="E409" s="131">
        <f t="shared" si="198"/>
        <v>979.18399999999997</v>
      </c>
      <c r="F409" s="131">
        <f t="shared" si="198"/>
        <v>1162.443</v>
      </c>
      <c r="G409" s="131">
        <f t="shared" si="198"/>
        <v>1516.5039999999999</v>
      </c>
      <c r="H409" s="131">
        <f t="shared" si="198"/>
        <v>1144.9000000000001</v>
      </c>
      <c r="I409" s="131">
        <f t="shared" ref="I409" ca="1" si="199">SUM(I406:I408)</f>
        <v>938.81800000000021</v>
      </c>
      <c r="J409" s="131">
        <f t="shared" ref="J409" ca="1" si="200">SUM(J406:J408)</f>
        <v>1079.6407000000002</v>
      </c>
      <c r="K409" s="131">
        <f t="shared" ref="K409" ca="1" si="201">SUM(K406:K408)</f>
        <v>1403.5329100000001</v>
      </c>
      <c r="L409" s="131">
        <f t="shared" ref="L409" ca="1" si="202">SUM(L406:L408)</f>
        <v>2035.1227194999999</v>
      </c>
      <c r="M409" s="131">
        <f t="shared" ref="M409" ca="1" si="203">SUM(M406:M408)</f>
        <v>3154.440215225</v>
      </c>
    </row>
    <row r="410" spans="1:13" s="3" customFormat="1" ht="14" x14ac:dyDescent="0.2"/>
    <row r="411" spans="1:13" s="3" customFormat="1" ht="14" x14ac:dyDescent="0.2">
      <c r="B411" s="3" t="s">
        <v>42</v>
      </c>
      <c r="C411" s="36">
        <f t="shared" ref="C411:H412" si="204">G220</f>
        <v>170.96899999999999</v>
      </c>
      <c r="D411" s="36">
        <f t="shared" si="204"/>
        <v>145.18600000000001</v>
      </c>
      <c r="E411" s="36">
        <f t="shared" si="204"/>
        <v>161.148</v>
      </c>
      <c r="F411" s="36">
        <f t="shared" si="204"/>
        <v>194.28100000000001</v>
      </c>
      <c r="G411" s="36">
        <f t="shared" si="204"/>
        <v>203.17099999999999</v>
      </c>
      <c r="H411" s="36">
        <f t="shared" si="204"/>
        <v>153.1</v>
      </c>
      <c r="I411" s="150">
        <f ca="1">I421*I426/365</f>
        <v>102.58087890218295</v>
      </c>
      <c r="J411" s="150">
        <f ca="1">J421*J426/365</f>
        <v>121.65451107305758</v>
      </c>
      <c r="K411" s="150">
        <f ca="1">K421*K426/365</f>
        <v>167.73576526739754</v>
      </c>
      <c r="L411" s="150">
        <f ca="1">L421*L426/365</f>
        <v>222.36970024020701</v>
      </c>
      <c r="M411" s="150">
        <f ca="1">M421*M426/365</f>
        <v>323.13097066155086</v>
      </c>
    </row>
    <row r="412" spans="1:13" s="3" customFormat="1" ht="14" x14ac:dyDescent="0.2">
      <c r="B412" s="3" t="s">
        <v>43</v>
      </c>
      <c r="C412" s="36">
        <f t="shared" si="204"/>
        <v>263.39999999999998</v>
      </c>
      <c r="D412" s="36">
        <f t="shared" si="204"/>
        <v>327.10000000000002</v>
      </c>
      <c r="E412" s="36">
        <f t="shared" si="204"/>
        <v>385.9</v>
      </c>
      <c r="F412" s="36">
        <f t="shared" si="204"/>
        <v>564.20000000000005</v>
      </c>
      <c r="G412" s="36">
        <f t="shared" si="204"/>
        <v>792</v>
      </c>
      <c r="H412" s="36">
        <f t="shared" si="204"/>
        <v>497.9</v>
      </c>
      <c r="I412" s="150">
        <f t="shared" ref="I412:M414" ca="1" si="205">I$420*I427</f>
        <v>408.27800000000002</v>
      </c>
      <c r="J412" s="150">
        <f t="shared" ca="1" si="205"/>
        <v>469.51969999999994</v>
      </c>
      <c r="K412" s="150">
        <f t="shared" ca="1" si="205"/>
        <v>610.37560999999994</v>
      </c>
      <c r="L412" s="150">
        <f t="shared" ca="1" si="205"/>
        <v>885.04463449999992</v>
      </c>
      <c r="M412" s="150">
        <f t="shared" ca="1" si="205"/>
        <v>1371.8191834749998</v>
      </c>
    </row>
    <row r="413" spans="1:13" s="3" customFormat="1" ht="14" x14ac:dyDescent="0.2">
      <c r="B413" s="3" t="s">
        <v>145</v>
      </c>
      <c r="C413" s="36">
        <f t="shared" ref="C413:H414" si="206">G225</f>
        <v>27.8</v>
      </c>
      <c r="D413" s="36">
        <f t="shared" si="206"/>
        <v>38.9</v>
      </c>
      <c r="E413" s="36">
        <f t="shared" si="206"/>
        <v>69</v>
      </c>
      <c r="F413" s="36">
        <f t="shared" si="206"/>
        <v>59</v>
      </c>
      <c r="G413" s="36">
        <f t="shared" si="206"/>
        <v>78.5</v>
      </c>
      <c r="H413" s="36">
        <f t="shared" si="206"/>
        <v>130.5</v>
      </c>
      <c r="I413" s="150">
        <f t="shared" ca="1" si="205"/>
        <v>107.01000000000002</v>
      </c>
      <c r="J413" s="150">
        <f t="shared" ca="1" si="205"/>
        <v>123.06150000000001</v>
      </c>
      <c r="K413" s="150">
        <f t="shared" ca="1" si="205"/>
        <v>159.97995000000003</v>
      </c>
      <c r="L413" s="150">
        <f t="shared" ca="1" si="205"/>
        <v>231.97092750000002</v>
      </c>
      <c r="M413" s="150">
        <f t="shared" ca="1" si="205"/>
        <v>359.55493762500004</v>
      </c>
    </row>
    <row r="414" spans="1:13" s="3" customFormat="1" ht="14" x14ac:dyDescent="0.2">
      <c r="B414" s="10" t="s">
        <v>143</v>
      </c>
      <c r="C414" s="76">
        <f t="shared" si="206"/>
        <v>0</v>
      </c>
      <c r="D414" s="76">
        <f t="shared" si="206"/>
        <v>0</v>
      </c>
      <c r="E414" s="76">
        <f t="shared" si="206"/>
        <v>0</v>
      </c>
      <c r="F414" s="76">
        <f t="shared" si="206"/>
        <v>0</v>
      </c>
      <c r="G414" s="76">
        <f t="shared" si="206"/>
        <v>0</v>
      </c>
      <c r="H414" s="76">
        <f t="shared" si="206"/>
        <v>0</v>
      </c>
      <c r="I414" s="165">
        <f t="shared" ca="1" si="205"/>
        <v>0</v>
      </c>
      <c r="J414" s="165">
        <f t="shared" ca="1" si="205"/>
        <v>0</v>
      </c>
      <c r="K414" s="165">
        <f t="shared" ca="1" si="205"/>
        <v>0</v>
      </c>
      <c r="L414" s="165">
        <f t="shared" ca="1" si="205"/>
        <v>0</v>
      </c>
      <c r="M414" s="165">
        <f t="shared" ca="1" si="205"/>
        <v>0</v>
      </c>
    </row>
    <row r="415" spans="1:13" s="3" customFormat="1" ht="14" x14ac:dyDescent="0.2">
      <c r="B415" s="89" t="s">
        <v>147</v>
      </c>
      <c r="C415" s="131">
        <f>SUM(C411:C414)</f>
        <v>462.16899999999998</v>
      </c>
      <c r="D415" s="131">
        <f t="shared" ref="D415:H415" si="207">SUM(D411:D414)</f>
        <v>511.18600000000004</v>
      </c>
      <c r="E415" s="131">
        <f t="shared" si="207"/>
        <v>616.048</v>
      </c>
      <c r="F415" s="131">
        <f t="shared" si="207"/>
        <v>817.48099999999999</v>
      </c>
      <c r="G415" s="131">
        <f t="shared" si="207"/>
        <v>1073.671</v>
      </c>
      <c r="H415" s="131">
        <f t="shared" si="207"/>
        <v>781.5</v>
      </c>
      <c r="I415" s="131">
        <f t="shared" ref="I415" ca="1" si="208">SUM(I411:I414)</f>
        <v>617.86887890218293</v>
      </c>
      <c r="J415" s="131">
        <f t="shared" ref="J415" ca="1" si="209">SUM(J411:J414)</f>
        <v>714.23571107305759</v>
      </c>
      <c r="K415" s="131">
        <f t="shared" ref="K415" ca="1" si="210">SUM(K411:K414)</f>
        <v>938.09132526739756</v>
      </c>
      <c r="L415" s="131">
        <f t="shared" ref="L415:M415" ca="1" si="211">SUM(L411:L414)</f>
        <v>1339.3852622402069</v>
      </c>
      <c r="M415" s="131">
        <f t="shared" ca="1" si="211"/>
        <v>2054.5050917615508</v>
      </c>
    </row>
    <row r="416" spans="1:13" s="3" customFormat="1" ht="14" x14ac:dyDescent="0.2"/>
    <row r="417" spans="2:13" s="3" customFormat="1" ht="14" x14ac:dyDescent="0.2">
      <c r="B417" s="89" t="s">
        <v>148</v>
      </c>
      <c r="C417" s="36">
        <f>C409-C415</f>
        <v>448.31900000000007</v>
      </c>
      <c r="D417" s="36">
        <f t="shared" ref="D417:M417" si="212">D409-D415</f>
        <v>388.71399999999994</v>
      </c>
      <c r="E417" s="36">
        <f t="shared" si="212"/>
        <v>363.13599999999997</v>
      </c>
      <c r="F417" s="36">
        <f t="shared" si="212"/>
        <v>344.96199999999999</v>
      </c>
      <c r="G417" s="36">
        <f t="shared" si="212"/>
        <v>442.83299999999986</v>
      </c>
      <c r="H417" s="36">
        <f t="shared" si="212"/>
        <v>363.40000000000009</v>
      </c>
      <c r="I417" s="36">
        <f t="shared" ca="1" si="212"/>
        <v>320.94912109781728</v>
      </c>
      <c r="J417" s="36">
        <f t="shared" ca="1" si="212"/>
        <v>365.40498892694256</v>
      </c>
      <c r="K417" s="36">
        <f t="shared" ca="1" si="212"/>
        <v>465.44158473260256</v>
      </c>
      <c r="L417" s="36">
        <f t="shared" ca="1" si="212"/>
        <v>695.73745725979302</v>
      </c>
      <c r="M417" s="36">
        <f t="shared" ca="1" si="212"/>
        <v>1099.9351234634491</v>
      </c>
    </row>
    <row r="418" spans="2:13" s="3" customFormat="1" ht="14" x14ac:dyDescent="0.2">
      <c r="B418" s="89" t="s">
        <v>149</v>
      </c>
      <c r="C418" s="36"/>
      <c r="D418" s="36">
        <f>C417-D417</f>
        <v>59.605000000000132</v>
      </c>
      <c r="E418" s="36">
        <f t="shared" ref="E418:H418" si="213">D417-E417</f>
        <v>25.577999999999975</v>
      </c>
      <c r="F418" s="36">
        <f t="shared" si="213"/>
        <v>18.173999999999978</v>
      </c>
      <c r="G418" s="36">
        <f t="shared" si="213"/>
        <v>-97.870999999999867</v>
      </c>
      <c r="H418" s="36">
        <f t="shared" si="213"/>
        <v>79.432999999999765</v>
      </c>
      <c r="I418" s="36">
        <f t="shared" ref="I418" ca="1" si="214">H417-I417</f>
        <v>42.450878902182808</v>
      </c>
      <c r="J418" s="36">
        <f t="shared" ref="J418" ca="1" si="215">I417-J417</f>
        <v>-44.455867829125282</v>
      </c>
      <c r="K418" s="36">
        <f t="shared" ref="K418" ca="1" si="216">J417-K417</f>
        <v>-100.03659580566</v>
      </c>
      <c r="L418" s="36">
        <f t="shared" ref="L418" ca="1" si="217">K417-L417</f>
        <v>-230.29587252719045</v>
      </c>
      <c r="M418" s="36">
        <f t="shared" ref="M418" ca="1" si="218">L417-M417</f>
        <v>-404.19766620365613</v>
      </c>
    </row>
    <row r="419" spans="2:13" s="3" customFormat="1" ht="14" x14ac:dyDescent="0.2">
      <c r="B419" s="89"/>
      <c r="C419" s="36"/>
      <c r="D419" s="36"/>
      <c r="E419" s="36"/>
      <c r="F419" s="36"/>
      <c r="G419" s="36"/>
      <c r="H419" s="36"/>
    </row>
    <row r="420" spans="2:13" s="3" customFormat="1" ht="14" x14ac:dyDescent="0.2">
      <c r="B420" s="89" t="s">
        <v>150</v>
      </c>
      <c r="C420" s="36">
        <f t="shared" ref="C420:H420" si="219">G142</f>
        <v>2443.29</v>
      </c>
      <c r="D420" s="36">
        <f t="shared" si="219"/>
        <v>3042.36</v>
      </c>
      <c r="E420" s="36">
        <f t="shared" si="219"/>
        <v>3459.33</v>
      </c>
      <c r="F420" s="36">
        <f t="shared" si="219"/>
        <v>3716.35</v>
      </c>
      <c r="G420" s="36">
        <f t="shared" si="219"/>
        <v>5077.4799999999996</v>
      </c>
      <c r="H420" s="36">
        <f t="shared" si="219"/>
        <v>5228.7</v>
      </c>
      <c r="I420" s="36">
        <f ca="1">Q142</f>
        <v>4287.5340000000006</v>
      </c>
      <c r="J420" s="36">
        <f ca="1">R142</f>
        <v>4930.6641</v>
      </c>
      <c r="K420" s="36">
        <f ca="1">S142</f>
        <v>6409.8633300000001</v>
      </c>
      <c r="L420" s="36">
        <f ca="1">T142</f>
        <v>9294.3018284999998</v>
      </c>
      <c r="M420" s="36">
        <f ca="1">U142</f>
        <v>14406.167834174999</v>
      </c>
    </row>
    <row r="421" spans="2:13" s="3" customFormat="1" ht="14" x14ac:dyDescent="0.2">
      <c r="B421" s="89" t="s">
        <v>151</v>
      </c>
      <c r="C421" s="36">
        <f t="shared" ref="C421:H421" si="220">G144</f>
        <v>861.24199999999996</v>
      </c>
      <c r="D421" s="36">
        <f t="shared" si="220"/>
        <v>965</v>
      </c>
      <c r="E421" s="36">
        <f t="shared" si="220"/>
        <v>1137.04</v>
      </c>
      <c r="F421" s="36">
        <f t="shared" si="220"/>
        <v>1366.39</v>
      </c>
      <c r="G421" s="36">
        <f t="shared" si="220"/>
        <v>1797.51</v>
      </c>
      <c r="H421" s="36">
        <f t="shared" si="220"/>
        <v>2047.7</v>
      </c>
      <c r="I421" s="36">
        <f ca="1">Q144</f>
        <v>1372.0108800000003</v>
      </c>
      <c r="J421" s="36">
        <f ca="1">R144</f>
        <v>1627.1191530000001</v>
      </c>
      <c r="K421" s="36">
        <f ca="1">S144</f>
        <v>2243.4521654999999</v>
      </c>
      <c r="L421" s="36">
        <f ca="1">T144</f>
        <v>2974.1765851199998</v>
      </c>
      <c r="M421" s="36">
        <f ca="1">U144</f>
        <v>4321.8503502525</v>
      </c>
    </row>
    <row r="422" spans="2:13" s="3" customFormat="1" ht="14" x14ac:dyDescent="0.2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</row>
    <row r="423" spans="2:13" s="3" customFormat="1" ht="14" x14ac:dyDescent="0.2">
      <c r="B423" s="38" t="s">
        <v>152</v>
      </c>
      <c r="C423" s="36">
        <f t="shared" ref="C423:H423" si="221">C406/(C420/365)</f>
        <v>99.238936024786241</v>
      </c>
      <c r="D423" s="36">
        <f t="shared" si="221"/>
        <v>94.622431270461092</v>
      </c>
      <c r="E423" s="36">
        <f t="shared" si="221"/>
        <v>89.70441096975425</v>
      </c>
      <c r="F423" s="36">
        <f t="shared" si="221"/>
        <v>102.31442006269592</v>
      </c>
      <c r="G423" s="36">
        <f t="shared" si="221"/>
        <v>87.514369332818646</v>
      </c>
      <c r="H423" s="36">
        <f t="shared" si="221"/>
        <v>67.894314074244079</v>
      </c>
      <c r="I423" s="36">
        <f t="shared" ref="I423:I429" si="222">H423</f>
        <v>67.894314074244079</v>
      </c>
      <c r="J423" s="36">
        <f t="shared" ref="J423:M423" si="223">I423</f>
        <v>67.894314074244079</v>
      </c>
      <c r="K423" s="36">
        <f t="shared" si="223"/>
        <v>67.894314074244079</v>
      </c>
      <c r="L423" s="36">
        <f t="shared" si="223"/>
        <v>67.894314074244079</v>
      </c>
      <c r="M423" s="36">
        <f t="shared" si="223"/>
        <v>67.894314074244079</v>
      </c>
    </row>
    <row r="424" spans="2:13" s="3" customFormat="1" ht="14" x14ac:dyDescent="0.2">
      <c r="B424" s="38" t="s">
        <v>157</v>
      </c>
      <c r="C424" s="71">
        <f t="shared" ref="C424:H425" si="224">C407/C$420</f>
        <v>9.9860434086825559E-2</v>
      </c>
      <c r="D424" s="71">
        <f t="shared" si="224"/>
        <v>3.6123272722491752E-2</v>
      </c>
      <c r="E424" s="71">
        <f t="shared" si="224"/>
        <v>3.619197937172805E-2</v>
      </c>
      <c r="F424" s="71">
        <f t="shared" si="224"/>
        <v>3.0998156793628159E-2</v>
      </c>
      <c r="G424" s="71">
        <f t="shared" si="224"/>
        <v>4.9335497136374744E-2</v>
      </c>
      <c r="H424" s="71">
        <f t="shared" si="224"/>
        <v>3.1231472450131012E-2</v>
      </c>
      <c r="I424" s="71">
        <f t="shared" si="222"/>
        <v>3.1231472450131012E-2</v>
      </c>
      <c r="J424" s="71">
        <f t="shared" ref="J424:M424" si="225">I424</f>
        <v>3.1231472450131012E-2</v>
      </c>
      <c r="K424" s="71">
        <f t="shared" si="225"/>
        <v>3.1231472450131012E-2</v>
      </c>
      <c r="L424" s="71">
        <f t="shared" si="225"/>
        <v>3.1231472450131012E-2</v>
      </c>
      <c r="M424" s="71">
        <f t="shared" si="225"/>
        <v>3.1231472450131012E-2</v>
      </c>
    </row>
    <row r="425" spans="2:13" s="3" customFormat="1" ht="14" x14ac:dyDescent="0.2">
      <c r="B425" s="38" t="s">
        <v>158</v>
      </c>
      <c r="C425" s="71">
        <f t="shared" si="224"/>
        <v>9.0042524628676914E-4</v>
      </c>
      <c r="D425" s="71">
        <f t="shared" si="224"/>
        <v>4.2729985931973865E-4</v>
      </c>
      <c r="E425" s="71">
        <f t="shared" si="224"/>
        <v>1.0984786071291262E-3</v>
      </c>
      <c r="F425" s="71">
        <f t="shared" si="224"/>
        <v>1.479946721918011E-3</v>
      </c>
      <c r="G425" s="71">
        <f t="shared" si="224"/>
        <v>9.5716772887337823E-3</v>
      </c>
      <c r="H425" s="71">
        <f t="shared" si="224"/>
        <v>1.7212691491192841E-3</v>
      </c>
      <c r="I425" s="71">
        <f t="shared" si="222"/>
        <v>1.7212691491192841E-3</v>
      </c>
      <c r="J425" s="71">
        <f t="shared" ref="J425:M425" si="226">I425</f>
        <v>1.7212691491192841E-3</v>
      </c>
      <c r="K425" s="71">
        <f t="shared" si="226"/>
        <v>1.7212691491192841E-3</v>
      </c>
      <c r="L425" s="71">
        <f t="shared" si="226"/>
        <v>1.7212691491192841E-3</v>
      </c>
      <c r="M425" s="71">
        <f t="shared" si="226"/>
        <v>1.7212691491192841E-3</v>
      </c>
    </row>
    <row r="426" spans="2:13" s="3" customFormat="1" ht="14" x14ac:dyDescent="0.2">
      <c r="B426" s="38" t="s">
        <v>156</v>
      </c>
      <c r="C426" s="36">
        <f t="shared" ref="C426:H426" si="227">C411/(C421/365)</f>
        <v>72.457781901022017</v>
      </c>
      <c r="D426" s="36">
        <f t="shared" si="227"/>
        <v>54.914911917098451</v>
      </c>
      <c r="E426" s="36">
        <f t="shared" si="227"/>
        <v>51.729947934989092</v>
      </c>
      <c r="F426" s="36">
        <f t="shared" si="227"/>
        <v>51.897748812564494</v>
      </c>
      <c r="G426" s="36">
        <f t="shared" si="227"/>
        <v>41.255634182841817</v>
      </c>
      <c r="H426" s="36">
        <f t="shared" si="227"/>
        <v>27.289886213800848</v>
      </c>
      <c r="I426" s="36">
        <f t="shared" si="222"/>
        <v>27.289886213800848</v>
      </c>
      <c r="J426" s="36">
        <f t="shared" ref="J426:M426" si="228">I426</f>
        <v>27.289886213800848</v>
      </c>
      <c r="K426" s="36">
        <f t="shared" si="228"/>
        <v>27.289886213800848</v>
      </c>
      <c r="L426" s="36">
        <f t="shared" si="228"/>
        <v>27.289886213800848</v>
      </c>
      <c r="M426" s="36">
        <f t="shared" si="228"/>
        <v>27.289886213800848</v>
      </c>
    </row>
    <row r="427" spans="2:13" s="3" customFormat="1" ht="14" x14ac:dyDescent="0.2">
      <c r="B427" s="38" t="s">
        <v>153</v>
      </c>
      <c r="C427" s="71">
        <f t="shared" ref="C427:H429" si="229">C412/C$420</f>
        <v>0.10780545903269771</v>
      </c>
      <c r="D427" s="71">
        <f t="shared" si="229"/>
        <v>0.10751521844883577</v>
      </c>
      <c r="E427" s="71">
        <f t="shared" si="229"/>
        <v>0.11155339328713941</v>
      </c>
      <c r="F427" s="71">
        <f t="shared" si="229"/>
        <v>0.15181562554657124</v>
      </c>
      <c r="G427" s="71">
        <f t="shared" si="229"/>
        <v>0.15598288914973571</v>
      </c>
      <c r="H427" s="71">
        <f t="shared" si="229"/>
        <v>9.5224434371832381E-2</v>
      </c>
      <c r="I427" s="71">
        <f t="shared" si="222"/>
        <v>9.5224434371832381E-2</v>
      </c>
      <c r="J427" s="71">
        <f t="shared" ref="J427:M427" si="230">I427</f>
        <v>9.5224434371832381E-2</v>
      </c>
      <c r="K427" s="71">
        <f t="shared" si="230"/>
        <v>9.5224434371832381E-2</v>
      </c>
      <c r="L427" s="71">
        <f t="shared" si="230"/>
        <v>9.5224434371832381E-2</v>
      </c>
      <c r="M427" s="71">
        <f t="shared" si="230"/>
        <v>9.5224434371832381E-2</v>
      </c>
    </row>
    <row r="428" spans="2:13" s="3" customFormat="1" ht="14" x14ac:dyDescent="0.2">
      <c r="B428" s="38" t="s">
        <v>154</v>
      </c>
      <c r="C428" s="71">
        <f t="shared" si="229"/>
        <v>1.13781008394419E-2</v>
      </c>
      <c r="D428" s="71">
        <f t="shared" si="229"/>
        <v>1.2786126559644485E-2</v>
      </c>
      <c r="E428" s="71">
        <f t="shared" si="229"/>
        <v>1.9946058918923606E-2</v>
      </c>
      <c r="F428" s="71">
        <f t="shared" si="229"/>
        <v>1.5875792107847755E-2</v>
      </c>
      <c r="G428" s="71">
        <f t="shared" si="229"/>
        <v>1.5460425250321026E-2</v>
      </c>
      <c r="H428" s="71">
        <f t="shared" si="229"/>
        <v>2.4958402662229619E-2</v>
      </c>
      <c r="I428" s="71">
        <f t="shared" si="222"/>
        <v>2.4958402662229619E-2</v>
      </c>
      <c r="J428" s="71">
        <f t="shared" ref="J428:M428" si="231">I428</f>
        <v>2.4958402662229619E-2</v>
      </c>
      <c r="K428" s="71">
        <f t="shared" si="231"/>
        <v>2.4958402662229619E-2</v>
      </c>
      <c r="L428" s="71">
        <f t="shared" si="231"/>
        <v>2.4958402662229619E-2</v>
      </c>
      <c r="M428" s="71">
        <f t="shared" si="231"/>
        <v>2.4958402662229619E-2</v>
      </c>
    </row>
    <row r="429" spans="2:13" s="3" customFormat="1" ht="14" x14ac:dyDescent="0.2">
      <c r="B429" s="38" t="s">
        <v>155</v>
      </c>
      <c r="C429" s="71">
        <f t="shared" si="229"/>
        <v>0</v>
      </c>
      <c r="D429" s="71">
        <f t="shared" si="229"/>
        <v>0</v>
      </c>
      <c r="E429" s="71">
        <f t="shared" si="229"/>
        <v>0</v>
      </c>
      <c r="F429" s="71">
        <f t="shared" si="229"/>
        <v>0</v>
      </c>
      <c r="G429" s="71">
        <f t="shared" si="229"/>
        <v>0</v>
      </c>
      <c r="H429" s="71">
        <f t="shared" si="229"/>
        <v>0</v>
      </c>
      <c r="I429" s="71">
        <f t="shared" si="222"/>
        <v>0</v>
      </c>
      <c r="J429" s="71">
        <f t="shared" ref="J429:M429" si="232">I429</f>
        <v>0</v>
      </c>
      <c r="K429" s="71">
        <f t="shared" si="232"/>
        <v>0</v>
      </c>
      <c r="L429" s="71">
        <f t="shared" si="232"/>
        <v>0</v>
      </c>
      <c r="M429" s="71">
        <f t="shared" si="232"/>
        <v>0</v>
      </c>
    </row>
    <row r="430" spans="2:13" s="3" customFormat="1" ht="14" x14ac:dyDescent="0.2">
      <c r="B430" s="89"/>
      <c r="C430" s="36"/>
      <c r="D430" s="36"/>
      <c r="E430" s="36"/>
      <c r="F430" s="36"/>
      <c r="G430" s="36"/>
      <c r="H430" s="36"/>
    </row>
    <row r="431" spans="2:13" s="3" customFormat="1" ht="14" x14ac:dyDescent="0.2">
      <c r="B431" s="89"/>
      <c r="C431" s="36"/>
      <c r="D431" s="36"/>
      <c r="E431" s="36"/>
      <c r="F431" s="36"/>
      <c r="G431" s="36"/>
      <c r="H431" s="36"/>
    </row>
    <row r="432" spans="2:13" s="3" customFormat="1" ht="14" x14ac:dyDescent="0.2">
      <c r="B432" s="89"/>
      <c r="C432" s="36"/>
      <c r="D432" s="36"/>
      <c r="E432" s="36"/>
      <c r="F432" s="36"/>
      <c r="G432" s="36"/>
      <c r="H432" s="36"/>
    </row>
    <row r="433" spans="1:4" s="6" customFormat="1" ht="14" x14ac:dyDescent="0.2">
      <c r="A433" s="6" t="s">
        <v>245</v>
      </c>
    </row>
    <row r="434" spans="1:4" s="1" customFormat="1" x14ac:dyDescent="0.2"/>
    <row r="435" spans="1:4" s="1" customFormat="1" x14ac:dyDescent="0.2">
      <c r="A435" s="3"/>
      <c r="B435" s="3" t="s">
        <v>128</v>
      </c>
      <c r="C435" s="36">
        <v>7500</v>
      </c>
      <c r="D435" s="3"/>
    </row>
    <row r="436" spans="1:4" s="1" customFormat="1" x14ac:dyDescent="0.2">
      <c r="A436" s="3"/>
      <c r="B436" s="3" t="s">
        <v>247</v>
      </c>
      <c r="C436" s="151">
        <f>0.117105</f>
        <v>0.117105</v>
      </c>
      <c r="D436" s="3"/>
    </row>
    <row r="437" spans="1:4" s="1" customFormat="1" x14ac:dyDescent="0.2">
      <c r="A437" s="3"/>
      <c r="B437" s="3" t="s">
        <v>248</v>
      </c>
      <c r="C437" s="150">
        <f>C435*C436</f>
        <v>878.28750000000002</v>
      </c>
      <c r="D437" s="3"/>
    </row>
    <row r="438" spans="1:4" s="1" customFormat="1" x14ac:dyDescent="0.2">
      <c r="A438" s="3"/>
      <c r="B438" s="10" t="s">
        <v>129</v>
      </c>
      <c r="C438" s="174">
        <v>0.25</v>
      </c>
      <c r="D438" s="3"/>
    </row>
    <row r="439" spans="1:4" s="1" customFormat="1" x14ac:dyDescent="0.2">
      <c r="A439" s="3"/>
      <c r="B439" s="3" t="s">
        <v>133</v>
      </c>
      <c r="C439" s="150">
        <f>C437*(1+C438)</f>
        <v>1097.859375</v>
      </c>
      <c r="D439" s="3"/>
    </row>
    <row r="440" spans="1:4" s="1" customFormat="1" x14ac:dyDescent="0.2">
      <c r="A440" s="3"/>
      <c r="B440" s="3"/>
      <c r="C440" s="3"/>
      <c r="D440" s="3"/>
    </row>
    <row r="441" spans="1:4" s="1" customFormat="1" x14ac:dyDescent="0.2">
      <c r="A441" s="3"/>
      <c r="B441" s="3" t="s">
        <v>130</v>
      </c>
      <c r="C441" s="172">
        <f>C442/C435</f>
        <v>0.49333333333333335</v>
      </c>
      <c r="D441" s="3"/>
    </row>
    <row r="442" spans="1:4" s="1" customFormat="1" x14ac:dyDescent="0.2">
      <c r="A442" s="3"/>
      <c r="B442" s="10" t="s">
        <v>131</v>
      </c>
      <c r="C442" s="76">
        <v>3700</v>
      </c>
      <c r="D442" s="3"/>
    </row>
    <row r="443" spans="1:4" s="1" customFormat="1" x14ac:dyDescent="0.2">
      <c r="A443" s="3"/>
      <c r="B443" s="3" t="s">
        <v>134</v>
      </c>
      <c r="C443" s="150">
        <f>C439*(1-C441)</f>
        <v>556.24874999999997</v>
      </c>
      <c r="D443" s="3"/>
    </row>
    <row r="444" spans="1:4" s="1" customFormat="1" x14ac:dyDescent="0.2">
      <c r="A444" s="3"/>
      <c r="B444" s="3"/>
      <c r="C444" s="3" t="s">
        <v>132</v>
      </c>
      <c r="D444" s="3"/>
    </row>
    <row r="445" spans="1:4" s="1" customFormat="1" x14ac:dyDescent="0.2">
      <c r="A445" s="3"/>
      <c r="B445" s="3" t="s">
        <v>137</v>
      </c>
      <c r="C445" s="3"/>
      <c r="D445" s="3"/>
    </row>
    <row r="446" spans="1:4" s="1" customFormat="1" x14ac:dyDescent="0.2">
      <c r="A446" s="3"/>
      <c r="B446" s="3"/>
      <c r="C446" s="175" t="s">
        <v>135</v>
      </c>
      <c r="D446" s="3"/>
    </row>
    <row r="447" spans="1:4" s="1" customFormat="1" x14ac:dyDescent="0.2">
      <c r="A447" s="3"/>
      <c r="B447" s="3" t="s">
        <v>15</v>
      </c>
      <c r="C447" s="36">
        <f>$L$156</f>
        <v>1486.9</v>
      </c>
      <c r="D447" s="71">
        <f>C447/$C$449</f>
        <v>0.50063973063973066</v>
      </c>
    </row>
    <row r="448" spans="1:4" s="1" customFormat="1" x14ac:dyDescent="0.2">
      <c r="A448" s="3"/>
      <c r="B448" s="10" t="s">
        <v>14</v>
      </c>
      <c r="C448" s="76">
        <f>$L$151</f>
        <v>1483.1000000000001</v>
      </c>
      <c r="D448" s="71">
        <f>C448/$C$449</f>
        <v>0.49936026936026939</v>
      </c>
    </row>
    <row r="449" spans="1:6" s="1" customFormat="1" x14ac:dyDescent="0.2">
      <c r="A449" s="3"/>
      <c r="B449" s="3" t="s">
        <v>136</v>
      </c>
      <c r="C449" s="36">
        <f>SUM(C447,C448)</f>
        <v>2970</v>
      </c>
      <c r="D449" s="3"/>
    </row>
    <row r="450" spans="1:6" s="1" customFormat="1" x14ac:dyDescent="0.2">
      <c r="A450" s="3"/>
      <c r="B450" s="3"/>
      <c r="C450" s="3"/>
      <c r="D450" s="3"/>
    </row>
    <row r="451" spans="1:6" s="1" customFormat="1" x14ac:dyDescent="0.2">
      <c r="A451" s="3"/>
      <c r="B451" s="3" t="s">
        <v>138</v>
      </c>
      <c r="C451" s="3"/>
      <c r="D451" s="3"/>
    </row>
    <row r="452" spans="1:6" s="1" customFormat="1" x14ac:dyDescent="0.2">
      <c r="A452" s="3"/>
      <c r="B452" s="3" t="s">
        <v>15</v>
      </c>
      <c r="C452" s="150">
        <f>C447-C443*D447</f>
        <v>1208.4197756313133</v>
      </c>
      <c r="D452" s="71"/>
    </row>
    <row r="453" spans="1:6" s="1" customFormat="1" x14ac:dyDescent="0.2">
      <c r="A453" s="3"/>
      <c r="B453" s="10" t="s">
        <v>14</v>
      </c>
      <c r="C453" s="165">
        <f>C448-C443*D448</f>
        <v>1205.3314743686869</v>
      </c>
      <c r="D453" s="152"/>
    </row>
    <row r="454" spans="1:6" s="1" customFormat="1" x14ac:dyDescent="0.2">
      <c r="A454" s="3"/>
      <c r="B454" s="3" t="s">
        <v>136</v>
      </c>
      <c r="C454" s="150">
        <f>SUM(C452,C453)</f>
        <v>2413.7512500000003</v>
      </c>
      <c r="D454" s="3"/>
    </row>
    <row r="455" spans="1:6" s="1" customFormat="1" x14ac:dyDescent="0.2"/>
    <row r="456" spans="1:6" s="6" customFormat="1" ht="14" x14ac:dyDescent="0.2">
      <c r="A456" s="6" t="s">
        <v>246</v>
      </c>
    </row>
    <row r="457" spans="1:6" s="1" customFormat="1" x14ac:dyDescent="0.2"/>
    <row r="458" spans="1:6" s="1" customFormat="1" x14ac:dyDescent="0.2"/>
    <row r="459" spans="1:6" s="3" customFormat="1" ht="14" x14ac:dyDescent="0.2">
      <c r="B459" s="255" t="s">
        <v>253</v>
      </c>
      <c r="C459" s="10"/>
      <c r="F459" s="319"/>
    </row>
    <row r="460" spans="1:6" x14ac:dyDescent="0.2">
      <c r="B460" s="3" t="s">
        <v>250</v>
      </c>
      <c r="C460" s="3">
        <v>368</v>
      </c>
      <c r="D460" s="71"/>
    </row>
    <row r="461" spans="1:6" x14ac:dyDescent="0.2">
      <c r="B461" s="3" t="s">
        <v>251</v>
      </c>
      <c r="C461" s="3">
        <v>63</v>
      </c>
      <c r="D461" s="71">
        <f>C461/C460</f>
        <v>0.17119565217391305</v>
      </c>
    </row>
    <row r="462" spans="1:6" x14ac:dyDescent="0.2">
      <c r="B462" s="3" t="s">
        <v>249</v>
      </c>
      <c r="C462" s="3">
        <v>401</v>
      </c>
      <c r="D462" s="318"/>
    </row>
    <row r="464" spans="1:6" x14ac:dyDescent="0.2">
      <c r="B464" s="254" t="s">
        <v>252</v>
      </c>
      <c r="C464" s="256"/>
    </row>
    <row r="465" spans="1:35" x14ac:dyDescent="0.2">
      <c r="B465" s="3" t="s">
        <v>254</v>
      </c>
      <c r="C465" s="3">
        <v>11</v>
      </c>
    </row>
    <row r="466" spans="1:35" x14ac:dyDescent="0.2">
      <c r="B466" s="3" t="s">
        <v>255</v>
      </c>
      <c r="C466" s="3">
        <v>11</v>
      </c>
    </row>
    <row r="467" spans="1:35" x14ac:dyDescent="0.2">
      <c r="B467" s="3" t="s">
        <v>256</v>
      </c>
      <c r="C467" s="3">
        <v>8</v>
      </c>
    </row>
    <row r="468" spans="1:35" x14ac:dyDescent="0.2">
      <c r="B468" s="89" t="s">
        <v>276</v>
      </c>
      <c r="C468" s="89">
        <f>SUM(C465:C467)/3</f>
        <v>10</v>
      </c>
    </row>
    <row r="469" spans="1:35" x14ac:dyDescent="0.2">
      <c r="B469" s="3" t="s">
        <v>257</v>
      </c>
      <c r="C469" s="3">
        <v>84</v>
      </c>
    </row>
    <row r="470" spans="1:35" x14ac:dyDescent="0.2">
      <c r="B470" s="3" t="s">
        <v>258</v>
      </c>
      <c r="C470" s="3">
        <v>114.99</v>
      </c>
    </row>
    <row r="471" spans="1:35" x14ac:dyDescent="0.2">
      <c r="B471" s="89" t="s">
        <v>277</v>
      </c>
      <c r="C471" s="89">
        <f>SUM(C469:C470)/2</f>
        <v>99.495000000000005</v>
      </c>
    </row>
    <row r="473" spans="1:35" s="6" customFormat="1" ht="14" x14ac:dyDescent="0.2">
      <c r="A473" s="257" t="s">
        <v>260</v>
      </c>
      <c r="B473" s="257"/>
      <c r="C473" s="257"/>
      <c r="D473" s="257"/>
      <c r="E473" s="257"/>
      <c r="F473" s="257"/>
      <c r="G473" s="257"/>
      <c r="H473" s="257"/>
      <c r="I473" s="257"/>
      <c r="J473" s="257"/>
      <c r="K473" s="257"/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57"/>
      <c r="AA473" s="257"/>
      <c r="AB473" s="257"/>
      <c r="AC473" s="257"/>
      <c r="AD473" s="257"/>
      <c r="AE473" s="257"/>
      <c r="AF473" s="257"/>
      <c r="AG473" s="257"/>
      <c r="AH473" s="257"/>
      <c r="AI473" s="257"/>
    </row>
    <row r="474" spans="1:35" x14ac:dyDescent="0.2">
      <c r="A474" s="258"/>
      <c r="B474" s="258"/>
      <c r="C474" s="258"/>
      <c r="D474" s="258"/>
      <c r="E474" s="258"/>
      <c r="F474" s="258"/>
      <c r="G474" s="258"/>
      <c r="H474" s="258"/>
      <c r="I474" s="258"/>
      <c r="J474" s="258"/>
      <c r="K474" s="258"/>
      <c r="L474" s="258"/>
      <c r="M474" s="258"/>
      <c r="N474" s="258"/>
      <c r="O474" s="258"/>
      <c r="P474" s="258"/>
      <c r="Q474" s="258"/>
      <c r="R474" s="258"/>
      <c r="S474" s="258"/>
      <c r="T474" s="258"/>
      <c r="U474" s="258"/>
      <c r="V474" s="258"/>
      <c r="W474" s="258"/>
      <c r="X474" s="258"/>
      <c r="Y474" s="258"/>
      <c r="Z474" s="258"/>
      <c r="AA474" s="258"/>
      <c r="AB474" s="258"/>
      <c r="AC474" s="258"/>
      <c r="AD474" s="258"/>
      <c r="AE474" s="258"/>
      <c r="AF474" s="258"/>
      <c r="AG474" s="258"/>
      <c r="AH474" s="258"/>
      <c r="AI474" s="258"/>
    </row>
    <row r="475" spans="1:35" x14ac:dyDescent="0.2">
      <c r="A475" s="259"/>
      <c r="B475" s="260" t="s">
        <v>261</v>
      </c>
      <c r="C475" s="262"/>
      <c r="D475" s="262"/>
      <c r="E475" s="262"/>
      <c r="F475" s="262"/>
      <c r="G475" s="263"/>
      <c r="H475" s="263"/>
      <c r="I475" s="263"/>
      <c r="J475" s="263"/>
      <c r="K475" s="263"/>
      <c r="L475" s="298"/>
      <c r="M475" s="263"/>
      <c r="N475" s="263"/>
      <c r="O475" s="263"/>
      <c r="P475" s="263"/>
      <c r="Q475" s="263"/>
      <c r="R475" s="263"/>
      <c r="S475" s="263"/>
      <c r="T475" s="263"/>
      <c r="U475" s="264"/>
      <c r="V475" s="259"/>
      <c r="W475" s="259"/>
      <c r="X475" s="259"/>
      <c r="Y475" s="259"/>
      <c r="Z475" s="259"/>
      <c r="AA475" s="259"/>
      <c r="AB475" s="259"/>
      <c r="AC475" s="259"/>
      <c r="AD475" s="259"/>
      <c r="AE475" s="259"/>
      <c r="AF475" s="259"/>
      <c r="AG475" s="259"/>
      <c r="AH475" s="259"/>
      <c r="AI475" s="259"/>
    </row>
    <row r="476" spans="1:35" x14ac:dyDescent="0.2">
      <c r="A476" s="259"/>
      <c r="B476" s="265"/>
      <c r="C476" s="266"/>
      <c r="D476" s="266"/>
      <c r="E476" s="266"/>
      <c r="F476" s="266"/>
      <c r="G476" s="267"/>
      <c r="H476" s="268"/>
      <c r="I476" s="268"/>
      <c r="J476" s="268"/>
      <c r="K476" s="268"/>
      <c r="L476" s="22" t="s">
        <v>7</v>
      </c>
      <c r="M476" s="267"/>
      <c r="N476" s="267"/>
      <c r="O476" s="267"/>
      <c r="P476" s="267"/>
      <c r="Q476" s="270" t="s">
        <v>70</v>
      </c>
      <c r="R476" s="270" t="s">
        <v>71</v>
      </c>
      <c r="S476" s="270" t="s">
        <v>72</v>
      </c>
      <c r="T476" s="270" t="s">
        <v>84</v>
      </c>
      <c r="U476" s="271" t="s">
        <v>74</v>
      </c>
      <c r="V476" s="295"/>
      <c r="W476" s="295"/>
      <c r="X476" s="295"/>
      <c r="Y476" s="295"/>
      <c r="Z476" s="295"/>
      <c r="AA476" s="259"/>
      <c r="AB476" s="259"/>
      <c r="AC476" s="259"/>
      <c r="AD476" s="259"/>
      <c r="AE476" s="259"/>
      <c r="AF476" s="259"/>
      <c r="AG476" s="259"/>
      <c r="AH476" s="259"/>
      <c r="AI476" s="259"/>
    </row>
    <row r="477" spans="1:35" x14ac:dyDescent="0.2">
      <c r="A477" s="259"/>
      <c r="B477" s="272"/>
      <c r="C477" s="273"/>
      <c r="D477" s="273"/>
      <c r="E477" s="273"/>
      <c r="F477" s="273"/>
      <c r="G477" s="274"/>
      <c r="H477" s="296">
        <f>H256</f>
        <v>2018</v>
      </c>
      <c r="I477" s="296">
        <f t="shared" ref="I477:K477" si="233">I256</f>
        <v>2019</v>
      </c>
      <c r="J477" s="296">
        <f t="shared" si="233"/>
        <v>2020</v>
      </c>
      <c r="K477" s="296">
        <f t="shared" si="233"/>
        <v>2021</v>
      </c>
      <c r="L477" s="297" t="s">
        <v>273</v>
      </c>
      <c r="M477" s="296"/>
      <c r="N477" s="273"/>
      <c r="O477" s="273"/>
      <c r="P477" s="273"/>
      <c r="Q477" s="299">
        <f>Q141</f>
        <v>2023</v>
      </c>
      <c r="R477" s="299">
        <f t="shared" ref="R477:T477" si="234">R141</f>
        <v>2024</v>
      </c>
      <c r="S477" s="299">
        <f t="shared" si="234"/>
        <v>2025</v>
      </c>
      <c r="T477" s="299">
        <f t="shared" si="234"/>
        <v>2026</v>
      </c>
      <c r="U477" s="300">
        <f>U141</f>
        <v>2027</v>
      </c>
      <c r="V477" s="295"/>
      <c r="W477" s="295"/>
      <c r="X477" s="295"/>
      <c r="Y477" s="295"/>
      <c r="Z477" s="295"/>
      <c r="AA477" s="259"/>
      <c r="AB477" s="259"/>
      <c r="AC477" s="259"/>
      <c r="AD477" s="259"/>
      <c r="AE477" s="259"/>
      <c r="AF477" s="259"/>
      <c r="AG477" s="259"/>
      <c r="AH477" s="259"/>
      <c r="AI477" s="259"/>
    </row>
    <row r="478" spans="1:35" x14ac:dyDescent="0.2">
      <c r="A478" s="259"/>
      <c r="B478" s="277" t="s">
        <v>267</v>
      </c>
      <c r="C478" s="261"/>
      <c r="D478" s="261"/>
      <c r="E478" s="261"/>
      <c r="F478" s="261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87"/>
      <c r="V478" s="259"/>
      <c r="W478" s="259"/>
      <c r="X478" s="259"/>
      <c r="Y478" s="259"/>
      <c r="Z478" s="259"/>
      <c r="AA478" s="259"/>
      <c r="AB478" s="259"/>
      <c r="AC478" s="259"/>
      <c r="AD478" s="259"/>
      <c r="AE478" s="259"/>
      <c r="AF478" s="259"/>
      <c r="AG478" s="259"/>
      <c r="AH478" s="259"/>
      <c r="AI478" s="259"/>
    </row>
    <row r="479" spans="1:35" x14ac:dyDescent="0.2">
      <c r="A479" s="259"/>
      <c r="B479" s="278" t="s">
        <v>281</v>
      </c>
      <c r="C479" s="25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79">
        <f>-0.22</f>
        <v>-0.22</v>
      </c>
      <c r="R479" s="279">
        <v>0.2</v>
      </c>
      <c r="S479" s="279">
        <v>0.3</v>
      </c>
      <c r="T479" s="279">
        <v>0.4</v>
      </c>
      <c r="U479" s="293">
        <v>0.5</v>
      </c>
      <c r="V479" s="279"/>
      <c r="W479" s="279"/>
      <c r="X479" s="279"/>
      <c r="Y479" s="279"/>
      <c r="Z479" s="279"/>
      <c r="AA479" s="259"/>
      <c r="AB479" s="259"/>
      <c r="AC479" s="259"/>
      <c r="AD479" s="259"/>
      <c r="AE479" s="259"/>
      <c r="AF479" s="259"/>
      <c r="AG479" s="259"/>
      <c r="AH479" s="259"/>
      <c r="AI479" s="259"/>
    </row>
    <row r="480" spans="1:35" x14ac:dyDescent="0.2">
      <c r="A480" s="259"/>
      <c r="B480" s="278" t="s">
        <v>282</v>
      </c>
      <c r="C480" s="25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79">
        <f>-0.18</f>
        <v>-0.18</v>
      </c>
      <c r="R480" s="279">
        <v>0.15</v>
      </c>
      <c r="S480" s="279">
        <v>0.3</v>
      </c>
      <c r="T480" s="279">
        <v>0.45</v>
      </c>
      <c r="U480" s="293">
        <v>0.55000000000000004</v>
      </c>
      <c r="V480" s="279"/>
      <c r="W480" s="279"/>
      <c r="X480" s="279"/>
      <c r="Y480" s="279"/>
      <c r="Z480" s="279"/>
      <c r="AA480" s="259"/>
      <c r="AB480" s="259"/>
      <c r="AC480" s="259"/>
      <c r="AD480" s="259"/>
      <c r="AE480" s="259"/>
      <c r="AF480" s="259"/>
      <c r="AG480" s="259"/>
      <c r="AH480" s="259"/>
      <c r="AI480" s="259"/>
    </row>
    <row r="481" spans="1:35" x14ac:dyDescent="0.2">
      <c r="A481" s="259"/>
      <c r="B481" s="272" t="s">
        <v>283</v>
      </c>
      <c r="C481" s="273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15">
        <f>-0.22</f>
        <v>-0.22</v>
      </c>
      <c r="R481" s="215">
        <v>0.25</v>
      </c>
      <c r="S481" s="215">
        <v>0.4</v>
      </c>
      <c r="T481" s="215">
        <v>0.55000000000000004</v>
      </c>
      <c r="U481" s="294">
        <v>0.7</v>
      </c>
      <c r="V481" s="279"/>
      <c r="W481" s="279"/>
      <c r="X481" s="279"/>
      <c r="Y481" s="279"/>
      <c r="Z481" s="279"/>
      <c r="AA481" s="259"/>
      <c r="AB481" s="259"/>
      <c r="AC481" s="259"/>
      <c r="AD481" s="259"/>
      <c r="AE481" s="259"/>
      <c r="AF481" s="259"/>
      <c r="AG481" s="259"/>
      <c r="AH481" s="259"/>
      <c r="AI481" s="259"/>
    </row>
    <row r="482" spans="1:35" x14ac:dyDescent="0.2">
      <c r="A482" s="259"/>
      <c r="B482" s="277" t="s">
        <v>268</v>
      </c>
      <c r="C482" s="261"/>
      <c r="D482" s="261"/>
      <c r="E482" s="261"/>
      <c r="F482" s="261"/>
      <c r="G482" s="261"/>
      <c r="H482" s="280">
        <f>H143</f>
        <v>0.24518988740591596</v>
      </c>
      <c r="I482" s="280">
        <f>I143</f>
        <v>0.1370547864158087</v>
      </c>
      <c r="J482" s="280">
        <f>J143</f>
        <v>7.4297624106402171E-2</v>
      </c>
      <c r="K482" s="280">
        <f>K143</f>
        <v>0.36625452392804769</v>
      </c>
      <c r="L482" s="280">
        <f>L143</f>
        <v>2.9782490526796712E-2</v>
      </c>
      <c r="M482" s="261"/>
      <c r="N482" s="261"/>
      <c r="O482" s="261"/>
      <c r="P482" s="261"/>
      <c r="Q482" s="281">
        <f ca="1">OFFSET(Q478,$K$27,0)</f>
        <v>-0.18</v>
      </c>
      <c r="R482" s="281">
        <f ca="1">OFFSET(R478,$K$27,0)</f>
        <v>0.15</v>
      </c>
      <c r="S482" s="281">
        <f ca="1">OFFSET(S478,$K$27,0)</f>
        <v>0.3</v>
      </c>
      <c r="T482" s="281">
        <f ca="1">OFFSET(T478,$K$27,0)</f>
        <v>0.45</v>
      </c>
      <c r="U482" s="312">
        <f ca="1">OFFSET(U478,$K$27,0)</f>
        <v>0.55000000000000004</v>
      </c>
      <c r="V482" s="281"/>
      <c r="W482" s="281"/>
      <c r="X482" s="281"/>
      <c r="Y482" s="281"/>
      <c r="Z482" s="281"/>
      <c r="AA482" s="259"/>
      <c r="AB482" s="259"/>
      <c r="AC482" s="259"/>
      <c r="AD482" s="259"/>
      <c r="AE482" s="259"/>
      <c r="AF482" s="259"/>
      <c r="AG482" s="259"/>
      <c r="AH482" s="259"/>
      <c r="AI482" s="259"/>
    </row>
    <row r="483" spans="1:35" x14ac:dyDescent="0.2">
      <c r="A483" s="259"/>
      <c r="B483" s="278"/>
      <c r="C483" s="25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82"/>
      <c r="R483" s="282"/>
      <c r="S483" s="282"/>
      <c r="T483" s="282"/>
      <c r="U483" s="288"/>
      <c r="V483" s="54"/>
      <c r="W483" s="54"/>
      <c r="X483" s="54"/>
      <c r="Y483" s="54"/>
      <c r="Z483" s="54"/>
      <c r="AA483" s="259"/>
      <c r="AB483" s="259"/>
      <c r="AC483" s="259"/>
      <c r="AD483" s="259"/>
      <c r="AE483" s="259"/>
      <c r="AF483" s="259"/>
      <c r="AG483" s="259"/>
      <c r="AH483" s="259"/>
      <c r="AI483" s="259"/>
    </row>
    <row r="484" spans="1:35" x14ac:dyDescent="0.2">
      <c r="A484" s="259"/>
      <c r="B484" s="277" t="s">
        <v>269</v>
      </c>
      <c r="C484" s="261"/>
      <c r="D484" s="261"/>
      <c r="E484" s="261"/>
      <c r="F484" s="261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82"/>
      <c r="R484" s="282"/>
      <c r="S484" s="282"/>
      <c r="T484" s="282"/>
      <c r="U484" s="288"/>
      <c r="V484" s="54"/>
      <c r="W484" s="54"/>
      <c r="X484" s="54"/>
      <c r="Y484" s="54"/>
      <c r="Z484" s="54"/>
      <c r="AA484" s="259"/>
      <c r="AB484" s="259"/>
      <c r="AC484" s="259"/>
      <c r="AD484" s="259"/>
      <c r="AE484" s="259"/>
      <c r="AF484" s="259"/>
      <c r="AG484" s="259"/>
      <c r="AH484" s="259"/>
      <c r="AI484" s="259"/>
    </row>
    <row r="485" spans="1:35" x14ac:dyDescent="0.2">
      <c r="A485" s="259"/>
      <c r="B485" s="278" t="s">
        <v>281</v>
      </c>
      <c r="C485" s="25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79">
        <f>0.35</f>
        <v>0.35</v>
      </c>
      <c r="R485" s="279">
        <f>0.33</f>
        <v>0.33</v>
      </c>
      <c r="S485" s="279">
        <f>0.3</f>
        <v>0.3</v>
      </c>
      <c r="T485" s="279">
        <f>0.3</f>
        <v>0.3</v>
      </c>
      <c r="U485" s="293">
        <f>0.3</f>
        <v>0.3</v>
      </c>
      <c r="V485" s="279"/>
      <c r="W485" s="279"/>
      <c r="X485" s="279"/>
      <c r="Y485" s="279"/>
      <c r="Z485" s="279"/>
      <c r="AA485" s="259"/>
      <c r="AB485" s="259"/>
      <c r="AC485" s="259"/>
      <c r="AD485" s="259"/>
      <c r="AE485" s="259"/>
      <c r="AF485" s="259"/>
      <c r="AG485" s="259"/>
      <c r="AH485" s="259"/>
      <c r="AI485" s="259"/>
    </row>
    <row r="486" spans="1:35" x14ac:dyDescent="0.2">
      <c r="A486" s="259"/>
      <c r="B486" s="278" t="s">
        <v>282</v>
      </c>
      <c r="C486" s="25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79">
        <f>0.32</f>
        <v>0.32</v>
      </c>
      <c r="R486" s="279">
        <f>0.33</f>
        <v>0.33</v>
      </c>
      <c r="S486" s="279">
        <f>0.35</f>
        <v>0.35</v>
      </c>
      <c r="T486" s="279">
        <f>0.32</f>
        <v>0.32</v>
      </c>
      <c r="U486" s="293">
        <f>0.3</f>
        <v>0.3</v>
      </c>
      <c r="V486" s="279"/>
      <c r="W486" s="279"/>
      <c r="X486" s="279"/>
      <c r="Y486" s="279"/>
      <c r="Z486" s="279"/>
      <c r="AA486" s="259"/>
      <c r="AB486" s="259"/>
      <c r="AC486" s="259"/>
      <c r="AD486" s="259"/>
      <c r="AE486" s="259"/>
      <c r="AF486" s="259"/>
      <c r="AG486" s="259"/>
      <c r="AH486" s="259"/>
      <c r="AI486" s="259"/>
    </row>
    <row r="487" spans="1:35" x14ac:dyDescent="0.2">
      <c r="A487" s="259"/>
      <c r="B487" s="272" t="s">
        <v>283</v>
      </c>
      <c r="C487" s="273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15">
        <v>0.36</v>
      </c>
      <c r="R487" s="215">
        <v>0.34</v>
      </c>
      <c r="S487" s="215">
        <v>0.31</v>
      </c>
      <c r="T487" s="215">
        <v>0.31</v>
      </c>
      <c r="U487" s="294">
        <v>0.31</v>
      </c>
      <c r="V487" s="279"/>
      <c r="W487" s="279"/>
      <c r="X487" s="279"/>
      <c r="Y487" s="279"/>
      <c r="Z487" s="279"/>
      <c r="AA487" s="259"/>
      <c r="AB487" s="259"/>
      <c r="AC487" s="259"/>
      <c r="AD487" s="259"/>
      <c r="AE487" s="259"/>
      <c r="AF487" s="259"/>
      <c r="AG487" s="259"/>
      <c r="AH487" s="259"/>
      <c r="AI487" s="259"/>
    </row>
    <row r="488" spans="1:35" x14ac:dyDescent="0.2">
      <c r="A488" s="259"/>
      <c r="B488" s="277" t="s">
        <v>269</v>
      </c>
      <c r="C488" s="261"/>
      <c r="D488" s="261"/>
      <c r="E488" s="261"/>
      <c r="F488" s="261"/>
      <c r="G488" s="261"/>
      <c r="H488" s="280">
        <f>H144/G144-1</f>
        <v>0.12047484911325745</v>
      </c>
      <c r="I488" s="280">
        <f>I144/H144-1</f>
        <v>0.17827979274611394</v>
      </c>
      <c r="J488" s="280">
        <f>J144/I144-1</f>
        <v>0.20170794343206944</v>
      </c>
      <c r="K488" s="280">
        <f>K144/J144-1</f>
        <v>0.31551753159786</v>
      </c>
      <c r="L488" s="280">
        <f>L144/K144-1</f>
        <v>0.1391869864423565</v>
      </c>
      <c r="M488" s="261"/>
      <c r="N488" s="261"/>
      <c r="O488" s="261"/>
      <c r="P488" s="261"/>
      <c r="Q488" s="281">
        <f ca="1">OFFSET(Q484,$K$27,0)</f>
        <v>0.32</v>
      </c>
      <c r="R488" s="281">
        <f ca="1">OFFSET(R484,$K$27,0)</f>
        <v>0.33</v>
      </c>
      <c r="S488" s="281">
        <f ca="1">OFFSET(S484,$K$27,0)</f>
        <v>0.35</v>
      </c>
      <c r="T488" s="281">
        <f ca="1">OFFSET(T484,$K$27,0)</f>
        <v>0.32</v>
      </c>
      <c r="U488" s="312">
        <f ca="1">OFFSET(U484,$K$27,0)</f>
        <v>0.3</v>
      </c>
      <c r="V488" s="281"/>
      <c r="W488" s="281"/>
      <c r="X488" s="281"/>
      <c r="Y488" s="281"/>
      <c r="Z488" s="281"/>
      <c r="AA488" s="259"/>
      <c r="AB488" s="259"/>
      <c r="AC488" s="259"/>
      <c r="AD488" s="259"/>
      <c r="AE488" s="259"/>
      <c r="AF488" s="259"/>
      <c r="AG488" s="259"/>
      <c r="AH488" s="259"/>
      <c r="AI488" s="259"/>
    </row>
    <row r="489" spans="1:35" x14ac:dyDescent="0.2">
      <c r="A489" s="259"/>
      <c r="B489" s="278"/>
      <c r="C489" s="25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82"/>
      <c r="R489" s="282"/>
      <c r="S489" s="282"/>
      <c r="T489" s="282"/>
      <c r="U489" s="288"/>
      <c r="V489" s="54"/>
      <c r="W489" s="54"/>
      <c r="X489" s="54"/>
      <c r="Y489" s="54"/>
      <c r="Z489" s="54"/>
      <c r="AA489" s="259"/>
      <c r="AB489" s="259"/>
      <c r="AC489" s="259"/>
      <c r="AD489" s="259"/>
      <c r="AE489" s="259"/>
      <c r="AF489" s="259"/>
      <c r="AG489" s="259"/>
      <c r="AH489" s="259"/>
      <c r="AI489" s="259"/>
    </row>
    <row r="490" spans="1:35" x14ac:dyDescent="0.2">
      <c r="A490" s="259"/>
      <c r="B490" s="277" t="s">
        <v>270</v>
      </c>
      <c r="C490" s="261"/>
      <c r="D490" s="261"/>
      <c r="E490" s="261"/>
      <c r="F490" s="261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82"/>
      <c r="R490" s="282"/>
      <c r="S490" s="282"/>
      <c r="T490" s="282"/>
      <c r="U490" s="288"/>
      <c r="V490" s="54"/>
      <c r="W490" s="54"/>
      <c r="X490" s="54"/>
      <c r="Y490" s="54"/>
      <c r="Z490" s="54"/>
      <c r="AA490" s="259"/>
      <c r="AB490" s="259"/>
      <c r="AC490" s="259"/>
      <c r="AD490" s="259"/>
      <c r="AE490" s="259"/>
      <c r="AF490" s="259"/>
      <c r="AG490" s="259"/>
      <c r="AH490" s="259"/>
      <c r="AI490" s="259"/>
    </row>
    <row r="491" spans="1:35" x14ac:dyDescent="0.2">
      <c r="A491" s="259"/>
      <c r="B491" s="278" t="s">
        <v>281</v>
      </c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177">
        <v>0.25</v>
      </c>
      <c r="R491" s="177">
        <f>Q491-0.02/4</f>
        <v>0.245</v>
      </c>
      <c r="S491" s="177">
        <f t="shared" ref="S491" si="235">R491-0.02/4</f>
        <v>0.24</v>
      </c>
      <c r="T491" s="177">
        <f t="shared" ref="T491" si="236">S491-0.02/4</f>
        <v>0.23499999999999999</v>
      </c>
      <c r="U491" s="314">
        <f t="shared" ref="U491" si="237">T491-0.02/4</f>
        <v>0.22999999999999998</v>
      </c>
      <c r="V491" s="279"/>
      <c r="W491" s="279"/>
      <c r="X491" s="279"/>
      <c r="Y491" s="279"/>
      <c r="Z491" s="279"/>
      <c r="AA491" s="259"/>
      <c r="AB491" s="259"/>
      <c r="AC491" s="259"/>
      <c r="AD491" s="259"/>
      <c r="AE491" s="259"/>
      <c r="AF491" s="259"/>
      <c r="AG491" s="259"/>
      <c r="AH491" s="259"/>
      <c r="AI491" s="259"/>
    </row>
    <row r="492" spans="1:35" x14ac:dyDescent="0.2">
      <c r="A492" s="259"/>
      <c r="B492" s="278" t="s">
        <v>282</v>
      </c>
      <c r="C492" s="25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79">
        <v>0.24</v>
      </c>
      <c r="R492" s="279">
        <v>0.23499999999999999</v>
      </c>
      <c r="S492" s="279">
        <v>0.23</v>
      </c>
      <c r="T492" s="279">
        <v>0.22500000000000001</v>
      </c>
      <c r="U492" s="293">
        <v>0.22</v>
      </c>
      <c r="V492" s="279"/>
      <c r="W492" s="279"/>
      <c r="X492" s="279"/>
      <c r="Y492" s="279"/>
      <c r="Z492" s="279"/>
      <c r="AA492" s="259"/>
      <c r="AB492" s="259"/>
      <c r="AC492" s="259"/>
      <c r="AD492" s="259"/>
      <c r="AE492" s="259"/>
      <c r="AF492" s="259"/>
      <c r="AG492" s="259"/>
      <c r="AH492" s="259"/>
      <c r="AI492" s="259"/>
    </row>
    <row r="493" spans="1:35" x14ac:dyDescent="0.2">
      <c r="A493" s="259"/>
      <c r="B493" s="272" t="s">
        <v>283</v>
      </c>
      <c r="C493" s="273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15">
        <v>0.247</v>
      </c>
      <c r="R493" s="215">
        <v>0.24</v>
      </c>
      <c r="S493" s="215">
        <v>0.23599999999999999</v>
      </c>
      <c r="T493" s="215">
        <v>0.23</v>
      </c>
      <c r="U493" s="294">
        <v>0.22500000000000001</v>
      </c>
      <c r="V493" s="279"/>
      <c r="W493" s="279"/>
      <c r="X493" s="279"/>
      <c r="Y493" s="279"/>
      <c r="Z493" s="279"/>
      <c r="AA493" s="259"/>
      <c r="AB493" s="259"/>
      <c r="AC493" s="259"/>
      <c r="AD493" s="259"/>
      <c r="AE493" s="259"/>
      <c r="AF493" s="259"/>
      <c r="AG493" s="259"/>
      <c r="AH493" s="259"/>
      <c r="AI493" s="259"/>
    </row>
    <row r="494" spans="1:35" x14ac:dyDescent="0.2">
      <c r="A494" s="259"/>
      <c r="B494" s="277" t="s">
        <v>270</v>
      </c>
      <c r="C494" s="261"/>
      <c r="D494" s="261"/>
      <c r="E494" s="261"/>
      <c r="F494" s="261"/>
      <c r="G494" s="261"/>
      <c r="H494" s="280">
        <f>H151/G151-1</f>
        <v>7.94349142280526E-2</v>
      </c>
      <c r="I494" s="280">
        <f>I151/H151-1</f>
        <v>0.24477433347044086</v>
      </c>
      <c r="J494" s="280">
        <f>J151/I151-1</f>
        <v>0.27551143020216906</v>
      </c>
      <c r="K494" s="280">
        <f>K151/J151-1</f>
        <v>0.41955464490526473</v>
      </c>
      <c r="L494" s="280">
        <f>L151/K151-1</f>
        <v>0.23027789299046053</v>
      </c>
      <c r="M494" s="261"/>
      <c r="N494" s="261"/>
      <c r="O494" s="261"/>
      <c r="P494" s="261"/>
      <c r="Q494" s="281">
        <f ca="1">OFFSET(Q490,$K$27,0)</f>
        <v>0.24</v>
      </c>
      <c r="R494" s="281">
        <f ca="1">OFFSET(R490,$K$27,0)</f>
        <v>0.23499999999999999</v>
      </c>
      <c r="S494" s="281">
        <f ca="1">OFFSET(S490,$K$27,0)</f>
        <v>0.23</v>
      </c>
      <c r="T494" s="281">
        <f ca="1">OFFSET(T490,$K$27,0)</f>
        <v>0.22500000000000001</v>
      </c>
      <c r="U494" s="312">
        <f ca="1">OFFSET(U490,$K$27,0)</f>
        <v>0.22</v>
      </c>
      <c r="V494" s="281"/>
      <c r="W494" s="281"/>
      <c r="X494" s="281"/>
      <c r="Y494" s="281"/>
      <c r="Z494" s="281"/>
      <c r="AA494" s="259"/>
      <c r="AB494" s="259"/>
      <c r="AC494" s="259"/>
      <c r="AD494" s="259"/>
      <c r="AE494" s="259"/>
      <c r="AF494" s="259"/>
      <c r="AG494" s="259"/>
      <c r="AH494" s="259"/>
      <c r="AI494" s="259"/>
    </row>
    <row r="495" spans="1:35" x14ac:dyDescent="0.2">
      <c r="A495" s="259"/>
      <c r="B495" s="278"/>
      <c r="C495" s="25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82"/>
      <c r="R495" s="282"/>
      <c r="S495" s="282"/>
      <c r="T495" s="282"/>
      <c r="U495" s="288"/>
      <c r="V495" s="54"/>
      <c r="W495" s="54"/>
      <c r="X495" s="54"/>
      <c r="Y495" s="54"/>
      <c r="Z495" s="54"/>
      <c r="AA495" s="259"/>
      <c r="AB495" s="259"/>
      <c r="AC495" s="259"/>
      <c r="AD495" s="259"/>
      <c r="AE495" s="259"/>
      <c r="AF495" s="259"/>
      <c r="AG495" s="259"/>
      <c r="AH495" s="259"/>
      <c r="AI495" s="259"/>
    </row>
    <row r="496" spans="1:35" x14ac:dyDescent="0.2">
      <c r="A496" s="259"/>
      <c r="B496" s="277" t="s">
        <v>271</v>
      </c>
      <c r="C496" s="261"/>
      <c r="D496" s="261"/>
      <c r="E496" s="261"/>
      <c r="F496" s="261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82"/>
      <c r="R496" s="282"/>
      <c r="S496" s="282"/>
      <c r="T496" s="282"/>
      <c r="U496" s="288"/>
      <c r="V496" s="54"/>
      <c r="W496" s="54"/>
      <c r="X496" s="54"/>
      <c r="Y496" s="54"/>
      <c r="Z496" s="54"/>
      <c r="AA496" s="259"/>
      <c r="AB496" s="259"/>
      <c r="AC496" s="259"/>
      <c r="AD496" s="259"/>
      <c r="AE496" s="259"/>
      <c r="AF496" s="259"/>
      <c r="AG496" s="259"/>
      <c r="AH496" s="259"/>
      <c r="AI496" s="259"/>
    </row>
    <row r="497" spans="1:35" x14ac:dyDescent="0.2">
      <c r="A497" s="259"/>
      <c r="B497" s="278" t="s">
        <v>281</v>
      </c>
      <c r="C497" s="25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177">
        <v>0.25</v>
      </c>
      <c r="R497" s="177">
        <f>Q497-0.02/4</f>
        <v>0.245</v>
      </c>
      <c r="S497" s="177">
        <f t="shared" ref="S497" si="238">R497-0.02/4</f>
        <v>0.24</v>
      </c>
      <c r="T497" s="177">
        <f t="shared" ref="T497" si="239">S497-0.02/4</f>
        <v>0.23499999999999999</v>
      </c>
      <c r="U497" s="314">
        <f t="shared" ref="U497" si="240">T497-0.02/4</f>
        <v>0.22999999999999998</v>
      </c>
      <c r="V497" s="279"/>
      <c r="W497" s="279"/>
      <c r="X497" s="279"/>
      <c r="Y497" s="279"/>
      <c r="Z497" s="279"/>
      <c r="AA497" s="259"/>
      <c r="AB497" s="259"/>
      <c r="AC497" s="259"/>
      <c r="AD497" s="259"/>
      <c r="AE497" s="259"/>
      <c r="AF497" s="259"/>
      <c r="AG497" s="259"/>
      <c r="AH497" s="259"/>
      <c r="AI497" s="259"/>
    </row>
    <row r="498" spans="1:35" x14ac:dyDescent="0.2">
      <c r="A498" s="259"/>
      <c r="B498" s="278" t="s">
        <v>282</v>
      </c>
      <c r="C498" s="25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79">
        <v>0.24</v>
      </c>
      <c r="R498" s="279">
        <v>0.23499999999999999</v>
      </c>
      <c r="S498" s="279">
        <v>0.23</v>
      </c>
      <c r="T498" s="279">
        <v>0.22500000000000001</v>
      </c>
      <c r="U498" s="293">
        <v>0.22</v>
      </c>
      <c r="V498" s="279"/>
      <c r="W498" s="279"/>
      <c r="X498" s="279"/>
      <c r="Y498" s="279"/>
      <c r="Z498" s="279"/>
      <c r="AA498" s="259"/>
      <c r="AB498" s="259"/>
      <c r="AC498" s="259"/>
      <c r="AD498" s="259"/>
      <c r="AE498" s="259"/>
      <c r="AF498" s="259"/>
      <c r="AG498" s="259"/>
      <c r="AH498" s="259"/>
      <c r="AI498" s="259"/>
    </row>
    <row r="499" spans="1:35" x14ac:dyDescent="0.2">
      <c r="A499" s="259"/>
      <c r="B499" s="272" t="s">
        <v>283</v>
      </c>
      <c r="C499" s="273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15">
        <v>0.247</v>
      </c>
      <c r="R499" s="215">
        <v>0.24</v>
      </c>
      <c r="S499" s="215">
        <v>0.23599999999999999</v>
      </c>
      <c r="T499" s="215">
        <v>0.23</v>
      </c>
      <c r="U499" s="294">
        <v>0.22500000000000001</v>
      </c>
      <c r="V499" s="279"/>
      <c r="W499" s="279"/>
      <c r="X499" s="279"/>
      <c r="Y499" s="279"/>
      <c r="Z499" s="279"/>
      <c r="AA499" s="259"/>
      <c r="AB499" s="259"/>
      <c r="AC499" s="259"/>
      <c r="AD499" s="259"/>
      <c r="AE499" s="259"/>
      <c r="AF499" s="259"/>
      <c r="AG499" s="259"/>
      <c r="AH499" s="259"/>
      <c r="AI499" s="259"/>
    </row>
    <row r="500" spans="1:35" x14ac:dyDescent="0.2">
      <c r="A500" s="259"/>
      <c r="B500" s="283" t="s">
        <v>271</v>
      </c>
      <c r="C500" s="284"/>
      <c r="D500" s="284"/>
      <c r="E500" s="284"/>
      <c r="F500" s="284"/>
      <c r="G500" s="284"/>
      <c r="H500" s="285">
        <f>H156/G156-1</f>
        <v>3.617416726460343E-2</v>
      </c>
      <c r="I500" s="285">
        <f>I156/H156-1</f>
        <v>0.21296487336875236</v>
      </c>
      <c r="J500" s="285">
        <f>J156/I156-1</f>
        <v>0.15697989645237742</v>
      </c>
      <c r="K500" s="285">
        <f>K156/J156-1</f>
        <v>0.26548070826709802</v>
      </c>
      <c r="L500" s="285">
        <f>L156/K156-1</f>
        <v>7.964653175623182E-2</v>
      </c>
      <c r="M500" s="284"/>
      <c r="N500" s="284"/>
      <c r="O500" s="284"/>
      <c r="P500" s="284"/>
      <c r="Q500" s="286">
        <f ca="1">OFFSET(Q496,$K$27,0)</f>
        <v>0.24</v>
      </c>
      <c r="R500" s="286">
        <f t="shared" ref="R500:U500" ca="1" si="241">OFFSET(R496,$K$27,0)</f>
        <v>0.23499999999999999</v>
      </c>
      <c r="S500" s="286">
        <f t="shared" ca="1" si="241"/>
        <v>0.23</v>
      </c>
      <c r="T500" s="286">
        <f t="shared" ca="1" si="241"/>
        <v>0.22500000000000001</v>
      </c>
      <c r="U500" s="315">
        <f t="shared" ca="1" si="241"/>
        <v>0.22</v>
      </c>
      <c r="V500" s="281"/>
      <c r="W500" s="281"/>
      <c r="X500" s="281"/>
      <c r="Y500" s="281"/>
      <c r="Z500" s="281"/>
      <c r="AA500" s="259"/>
      <c r="AB500" s="259"/>
      <c r="AC500" s="259"/>
      <c r="AD500" s="259"/>
      <c r="AE500" s="259"/>
      <c r="AF500" s="259"/>
      <c r="AG500" s="259"/>
      <c r="AH500" s="259"/>
      <c r="AI500" s="259"/>
    </row>
    <row r="501" spans="1:35" x14ac:dyDescent="0.2">
      <c r="A501" s="259"/>
      <c r="B501" s="259"/>
      <c r="C501" s="25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  <c r="AA501" s="259"/>
      <c r="AB501" s="259"/>
      <c r="AC501" s="259"/>
      <c r="AD501" s="259"/>
      <c r="AE501" s="259"/>
      <c r="AF501" s="259"/>
      <c r="AG501" s="259"/>
      <c r="AH501" s="259"/>
      <c r="AI501" s="259"/>
    </row>
    <row r="502" spans="1:35" x14ac:dyDescent="0.2">
      <c r="A502" s="259"/>
      <c r="B502" s="260" t="s">
        <v>272</v>
      </c>
      <c r="C502" s="262"/>
      <c r="D502" s="262"/>
      <c r="E502" s="262"/>
      <c r="F502" s="262"/>
      <c r="G502" s="263"/>
      <c r="H502" s="263"/>
      <c r="I502" s="263"/>
      <c r="J502" s="263"/>
      <c r="K502" s="263"/>
      <c r="L502" s="263"/>
      <c r="M502" s="263"/>
      <c r="N502" s="263"/>
      <c r="O502" s="263"/>
      <c r="P502" s="263"/>
      <c r="Q502" s="263"/>
      <c r="R502" s="263"/>
      <c r="S502" s="263"/>
      <c r="T502" s="263"/>
      <c r="U502" s="264"/>
      <c r="V502" s="278"/>
      <c r="W502" s="259"/>
      <c r="X502" s="259"/>
      <c r="Y502" s="259"/>
      <c r="Z502" s="259"/>
      <c r="AA502" s="259"/>
      <c r="AB502" s="259"/>
      <c r="AC502" s="259"/>
      <c r="AD502" s="259"/>
      <c r="AE502" s="259"/>
      <c r="AF502" s="259"/>
      <c r="AG502" s="259"/>
      <c r="AH502" s="259"/>
      <c r="AI502" s="259"/>
    </row>
    <row r="503" spans="1:35" x14ac:dyDescent="0.2">
      <c r="A503" s="259"/>
      <c r="B503" s="265"/>
      <c r="C503" s="266"/>
      <c r="D503" s="266"/>
      <c r="E503" s="266"/>
      <c r="F503" s="266"/>
      <c r="G503" s="267"/>
      <c r="H503" s="268"/>
      <c r="I503" s="268"/>
      <c r="J503" s="268"/>
      <c r="K503" s="268"/>
      <c r="L503" s="269" t="str">
        <f>L476</f>
        <v>LTM</v>
      </c>
      <c r="M503" s="267"/>
      <c r="N503" s="267"/>
      <c r="O503" s="267"/>
      <c r="P503" s="267"/>
      <c r="Q503" s="270" t="s">
        <v>70</v>
      </c>
      <c r="R503" s="270" t="s">
        <v>71</v>
      </c>
      <c r="S503" s="270" t="s">
        <v>72</v>
      </c>
      <c r="T503" s="270" t="s">
        <v>84</v>
      </c>
      <c r="U503" s="271" t="s">
        <v>74</v>
      </c>
      <c r="V503" s="295"/>
      <c r="W503" s="295"/>
      <c r="X503" s="295"/>
      <c r="Y503" s="295"/>
      <c r="Z503" s="295"/>
      <c r="AA503" s="259"/>
      <c r="AB503" s="259"/>
      <c r="AC503" s="259"/>
      <c r="AD503" s="259"/>
      <c r="AE503" s="259"/>
      <c r="AF503" s="259"/>
      <c r="AG503" s="259"/>
      <c r="AH503" s="259"/>
      <c r="AI503" s="259"/>
    </row>
    <row r="504" spans="1:35" x14ac:dyDescent="0.2">
      <c r="A504" s="259"/>
      <c r="B504" s="272"/>
      <c r="C504" s="273"/>
      <c r="D504" s="273"/>
      <c r="E504" s="273"/>
      <c r="F504" s="273"/>
      <c r="G504" s="296">
        <f>G256</f>
        <v>2017</v>
      </c>
      <c r="H504" s="296">
        <f t="shared" ref="H504:K504" si="242">H256</f>
        <v>2018</v>
      </c>
      <c r="I504" s="296">
        <f t="shared" si="242"/>
        <v>2019</v>
      </c>
      <c r="J504" s="296">
        <f t="shared" si="242"/>
        <v>2020</v>
      </c>
      <c r="K504" s="296">
        <f t="shared" si="242"/>
        <v>2021</v>
      </c>
      <c r="L504" s="317" t="str">
        <f>L477</f>
        <v>30/06/2022</v>
      </c>
      <c r="M504" s="273"/>
      <c r="N504" s="273"/>
      <c r="O504" s="273"/>
      <c r="P504" s="273"/>
      <c r="Q504" s="275" t="s">
        <v>262</v>
      </c>
      <c r="R504" s="275" t="s">
        <v>263</v>
      </c>
      <c r="S504" s="275" t="s">
        <v>264</v>
      </c>
      <c r="T504" s="275" t="s">
        <v>265</v>
      </c>
      <c r="U504" s="276" t="s">
        <v>266</v>
      </c>
      <c r="V504" s="316"/>
      <c r="W504" s="295"/>
      <c r="X504" s="295"/>
      <c r="Y504" s="295"/>
      <c r="Z504" s="295"/>
      <c r="AA504" s="259"/>
      <c r="AB504" s="259"/>
      <c r="AC504" s="259"/>
      <c r="AD504" s="259"/>
      <c r="AE504" s="259"/>
      <c r="AF504" s="259"/>
      <c r="AG504" s="259"/>
      <c r="AH504" s="259"/>
      <c r="AI504" s="259"/>
    </row>
    <row r="505" spans="1:35" x14ac:dyDescent="0.2">
      <c r="A505" s="259"/>
      <c r="B505" s="265" t="s">
        <v>12</v>
      </c>
      <c r="C505" s="266"/>
      <c r="D505" s="266"/>
      <c r="E505" s="266"/>
      <c r="F505" s="266"/>
      <c r="G505" s="266"/>
      <c r="H505" s="266"/>
      <c r="I505" s="266"/>
      <c r="J505" s="266"/>
      <c r="K505" s="266"/>
      <c r="L505" s="266"/>
      <c r="M505" s="266"/>
      <c r="N505" s="266"/>
      <c r="O505" s="266"/>
      <c r="P505" s="266"/>
      <c r="Q505" s="291"/>
      <c r="R505" s="291"/>
      <c r="S505" s="291"/>
      <c r="T505" s="291"/>
      <c r="U505" s="292"/>
      <c r="V505" s="135"/>
      <c r="W505" s="135"/>
      <c r="X505" s="135"/>
      <c r="Y505" s="135"/>
      <c r="Z505" s="135"/>
      <c r="AA505" s="259"/>
      <c r="AB505" s="259"/>
      <c r="AC505" s="259"/>
      <c r="AD505" s="259"/>
      <c r="AE505" s="259"/>
      <c r="AF505" s="259"/>
      <c r="AG505" s="259"/>
      <c r="AH505" s="259"/>
      <c r="AI505" s="259"/>
    </row>
    <row r="506" spans="1:35" x14ac:dyDescent="0.2">
      <c r="A506" s="259"/>
      <c r="B506" s="272" t="s">
        <v>163</v>
      </c>
      <c r="C506" s="284"/>
      <c r="D506" s="284"/>
      <c r="E506" s="284"/>
      <c r="F506" s="284"/>
      <c r="G506" s="152">
        <f>G271</f>
        <v>6.5771971399219906E-2</v>
      </c>
      <c r="H506" s="152">
        <f t="shared" ref="H506:L506" si="243">H271</f>
        <v>0.15905415532678577</v>
      </c>
      <c r="I506" s="152">
        <f t="shared" si="243"/>
        <v>0.15630194286176805</v>
      </c>
      <c r="J506" s="152">
        <f t="shared" si="243"/>
        <v>0.23501553944058015</v>
      </c>
      <c r="K506" s="152">
        <f t="shared" si="243"/>
        <v>0.19921299542292636</v>
      </c>
      <c r="L506" s="152">
        <f t="shared" si="243"/>
        <v>0.16615984852831486</v>
      </c>
      <c r="M506" s="284"/>
      <c r="N506" s="284"/>
      <c r="O506" s="284"/>
      <c r="P506" s="284"/>
      <c r="Q506" s="289">
        <v>0.16600000000000001</v>
      </c>
      <c r="R506" s="289">
        <v>0.16600000000000001</v>
      </c>
      <c r="S506" s="289">
        <v>0.16600000000000001</v>
      </c>
      <c r="T506" s="289">
        <v>0.16600000000000001</v>
      </c>
      <c r="U506" s="290">
        <v>0.16600000000000001</v>
      </c>
      <c r="V506" s="137"/>
      <c r="W506" s="137"/>
      <c r="X506" s="137"/>
      <c r="Y506" s="137"/>
      <c r="Z506" s="137"/>
      <c r="AA506" s="259"/>
      <c r="AB506" s="259"/>
      <c r="AC506" s="259"/>
      <c r="AD506" s="259"/>
      <c r="AE506" s="259"/>
      <c r="AF506" s="259"/>
      <c r="AG506" s="259"/>
      <c r="AH506" s="259"/>
      <c r="AI506" s="259"/>
    </row>
    <row r="507" spans="1:35" x14ac:dyDescent="0.2">
      <c r="A507" s="259"/>
      <c r="B507" s="259"/>
      <c r="C507" s="25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  <c r="AA507" s="259"/>
      <c r="AB507" s="259"/>
      <c r="AC507" s="259"/>
      <c r="AD507" s="259"/>
      <c r="AE507" s="259"/>
      <c r="AF507" s="259"/>
      <c r="AG507" s="259"/>
      <c r="AH507" s="259"/>
      <c r="AI507" s="259"/>
    </row>
    <row r="508" spans="1:35" x14ac:dyDescent="0.2">
      <c r="A508" s="259"/>
      <c r="B508" s="259"/>
      <c r="C508" s="25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  <c r="AA508" s="259"/>
      <c r="AB508" s="259"/>
      <c r="AC508" s="259"/>
      <c r="AD508" s="259"/>
      <c r="AE508" s="259"/>
      <c r="AF508" s="259"/>
      <c r="AG508" s="259"/>
      <c r="AH508" s="259"/>
      <c r="AI508" s="259"/>
    </row>
  </sheetData>
  <dataValidations count="1">
    <dataValidation type="list" allowBlank="1" showInputMessage="1" showErrorMessage="1" sqref="K27" xr:uid="{6F11F432-5979-2B4C-BECE-21D9770ED1EF}">
      <formula1>"1,2,3"</formula1>
    </dataValidation>
  </dataValidations>
  <hyperlinks>
    <hyperlink ref="C15" r:id="rId1" xr:uid="{D9AA4F10-9D60-A84B-BAD4-3CD0291D80A3}"/>
    <hyperlink ref="C16" r:id="rId2" xr:uid="{DCB13F7D-0980-0646-AF73-D2215F78DF40}"/>
    <hyperlink ref="C17" r:id="rId3" xr:uid="{581965E9-9A31-A74E-BC0B-EA0BFCCB75C7}"/>
    <hyperlink ref="C18" r:id="rId4" xr:uid="{6E893E2A-E096-C648-AD96-1A41A3B7E81B}"/>
    <hyperlink ref="C11" r:id="rId5" xr:uid="{C3F63EEE-7BA0-2048-B5CF-4494C1011BAF}"/>
    <hyperlink ref="C12" r:id="rId6" xr:uid="{E907B946-6F1B-EC40-B6D4-C6AA6428C59E}"/>
    <hyperlink ref="C19" r:id="rId7" xr:uid="{6701FF21-62B7-CB4A-80A8-2F6B7FABD9C8}"/>
  </hyperlinks>
  <pageMargins left="0.7" right="0.7" top="0.75" bottom="0.75" header="0.3" footer="0.3"/>
  <ignoredErrors>
    <ignoredError sqref="K246 G246:I2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 LBO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2023-02-07T16:10:16Z</dcterms:created>
  <dcterms:modified xsi:type="dcterms:W3CDTF">2023-03-02T17:38:20Z</dcterms:modified>
</cp:coreProperties>
</file>