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cilia\Desktop\UTSC\Crowdfunding-Kickstarter-Analysis\"/>
    </mc:Choice>
  </mc:AlternateContent>
  <xr:revisionPtr revIDLastSave="0" documentId="13_ncr:1_{222CEF1D-ED73-408D-AE3B-45216AF10B4C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Campaign Details" sheetId="1" r:id="rId1"/>
    <sheet name="State vs Parent-Category" sheetId="3" r:id="rId2"/>
    <sheet name="State vs Sub-Category" sheetId="4" r:id="rId3"/>
    <sheet name="State vs Months" sheetId="5" r:id="rId4"/>
    <sheet name="State vs Funding Goals" sheetId="6" r:id="rId5"/>
    <sheet name="Stats SuccessFail" sheetId="7" r:id="rId6"/>
  </sheets>
  <definedNames>
    <definedName name="_xlnm._FilterDatabase" localSheetId="0" hidden="1">'Campaign Details'!$A$1:$T$4115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9" i="7" l="1"/>
  <c r="I8" i="7"/>
  <c r="H9" i="7"/>
  <c r="H8" i="7"/>
  <c r="I7" i="7"/>
  <c r="I6" i="7"/>
  <c r="I5" i="7"/>
  <c r="I4" i="7"/>
  <c r="I3" i="7"/>
  <c r="I2" i="7"/>
  <c r="H7" i="7"/>
  <c r="H6" i="7"/>
  <c r="H5" i="7"/>
  <c r="H4" i="7"/>
  <c r="H3" i="7"/>
  <c r="H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H9" i="6" s="1"/>
  <c r="B8" i="6"/>
  <c r="B7" i="6"/>
  <c r="B6" i="6"/>
  <c r="B5" i="6"/>
  <c r="B4" i="6"/>
  <c r="B3" i="6"/>
  <c r="B2" i="6"/>
  <c r="E2" i="6" l="1"/>
  <c r="H2" i="6" s="1"/>
  <c r="E8" i="6"/>
  <c r="F8" i="6" s="1"/>
  <c r="E10" i="6"/>
  <c r="F10" i="6" s="1"/>
  <c r="E7" i="6"/>
  <c r="F7" i="6" s="1"/>
  <c r="G9" i="6"/>
  <c r="E13" i="6"/>
  <c r="G13" i="6" s="1"/>
  <c r="E5" i="6"/>
  <c r="G5" i="6" s="1"/>
  <c r="F9" i="6"/>
  <c r="E12" i="6"/>
  <c r="G12" i="6" s="1"/>
  <c r="E4" i="6"/>
  <c r="F4" i="6" s="1"/>
  <c r="E11" i="6"/>
  <c r="H11" i="6" s="1"/>
  <c r="E3" i="6"/>
  <c r="F3" i="6" s="1"/>
  <c r="E6" i="6"/>
  <c r="G6" i="6" s="1"/>
  <c r="G3" i="6" l="1"/>
  <c r="F2" i="6"/>
  <c r="H8" i="6"/>
  <c r="G8" i="6"/>
  <c r="G4" i="6"/>
  <c r="G2" i="6"/>
  <c r="F13" i="6"/>
  <c r="F5" i="6"/>
  <c r="H7" i="6"/>
  <c r="H3" i="6"/>
  <c r="H12" i="6"/>
  <c r="G7" i="6"/>
  <c r="H10" i="6"/>
  <c r="F6" i="6"/>
  <c r="H5" i="6"/>
  <c r="G10" i="6"/>
  <c r="H6" i="6"/>
  <c r="H4" i="6"/>
  <c r="G11" i="6"/>
  <c r="F11" i="6"/>
  <c r="F12" i="6"/>
  <c r="H1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<sst xmlns="http://schemas.openxmlformats.org/spreadsheetml/2006/main" count="28549" uniqueCount="8411">
  <si>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</si>
  <si>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</si>
  <si>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</si>
  <si>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</si>
  <si>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</si>
  <si>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</si>
  <si>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</si>
  <si>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</si>
  <si>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</si>
  <si>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</si>
  <si>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</si>
  <si>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</si>
  <si>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</si>
  <si>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</si>
  <si>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</si>
  <si>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</si>
  <si>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</si>
  <si>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</si>
  <si>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</si>
  <si>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</si>
  <si>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</si>
  <si>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</si>
  <si>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</si>
  <si>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</si>
  <si>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</si>
  <si>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</si>
  <si>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</si>
  <si>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</si>
  <si>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</si>
  <si>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</si>
  <si>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</si>
  <si>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</si>
  <si>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</si>
  <si>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</si>
  <si>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</si>
  <si>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</si>
  <si>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</si>
  <si>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</si>
  <si>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</si>
  <si>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</si>
  <si>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</si>
  <si>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</si>
  <si>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</si>
  <si>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</si>
  <si>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</si>
  <si>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</si>
  <si>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</si>
  <si>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</si>
  <si>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</si>
  <si>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</si>
  <si>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</si>
  <si>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</si>
  <si>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</si>
  <si>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</si>
  <si>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</si>
  <si>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</si>
  <si>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</si>
  <si>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</si>
  <si>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</si>
  <si>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</si>
  <si>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</si>
  <si>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</si>
  <si>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</si>
  <si>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</si>
  <si>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</si>
  <si>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</si>
  <si>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</si>
  <si>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</si>
  <si>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</si>
  <si>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</si>
  <si>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</si>
  <si>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</si>
  <si>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</si>
  <si>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</si>
  <si>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</si>
  <si>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</si>
  <si>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</si>
  <si>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</si>
  <si>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</si>
  <si>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</si>
  <si>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</si>
  <si>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</si>
  <si>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</si>
  <si>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</si>
  <si>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</si>
  <si>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</si>
  <si>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</si>
  <si>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</si>
  <si>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</si>
  <si>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</si>
  <si>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</si>
  <si>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</si>
  <si>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</si>
  <si>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</si>
  <si>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</si>
  <si>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</si>
  <si>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</si>
  <si>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</si>
  <si>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</si>
  <si>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</si>
  <si>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</si>
  <si>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</si>
  <si>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</si>
  <si>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</si>
  <si>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</si>
  <si>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</si>
  <si>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</si>
  <si>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</si>
  <si>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</si>
  <si>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</si>
  <si>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</si>
  <si>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</si>
  <si>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</si>
  <si>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</si>
  <si>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</si>
  <si>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</si>
  <si>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</si>
  <si>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</si>
  <si>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</si>
  <si>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</si>
  <si>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</si>
  <si>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</si>
  <si>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</si>
  <si>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</si>
  <si>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</si>
  <si>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</si>
  <si>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</si>
  <si>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</si>
  <si>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</si>
  <si>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</si>
  <si>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</si>
  <si>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</si>
  <si>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</si>
  <si>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</si>
  <si>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</si>
  <si>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</si>
  <si>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</si>
  <si>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</si>
  <si>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</si>
  <si>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</si>
  <si>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</si>
  <si>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</si>
  <si>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</si>
  <si>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</si>
  <si>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</si>
  <si>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</si>
  <si>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</si>
  <si>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</si>
  <si>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</si>
  <si>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</si>
  <si>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</si>
  <si>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</si>
  <si>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</si>
  <si>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</si>
  <si>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</si>
  <si>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</si>
  <si>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</si>
  <si>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</si>
  <si>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</si>
  <si>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</si>
  <si>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</si>
  <si>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</si>
  <si>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</si>
  <si>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</si>
  <si>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</si>
  <si>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</si>
  <si>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</si>
  <si>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</si>
  <si>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</si>
  <si>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</si>
  <si>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</si>
  <si>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</si>
  <si>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</si>
  <si>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</si>
  <si>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</si>
  <si>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</si>
  <si>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</si>
  <si>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</si>
  <si>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</si>
  <si>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</si>
  <si>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</si>
  <si>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</si>
  <si>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</si>
  <si>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</si>
  <si>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</si>
  <si>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</si>
  <si>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</si>
  <si>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</si>
  <si>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</si>
  <si>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</si>
  <si>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</si>
  <si>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</si>
  <si>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</si>
  <si>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</si>
  <si>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</si>
  <si>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</si>
  <si>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</si>
  <si>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</si>
  <si>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</si>
  <si>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</si>
  <si>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</si>
  <si>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</si>
  <si>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</si>
  <si>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</si>
  <si>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</si>
  <si>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</si>
  <si>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</si>
  <si>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</si>
  <si>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</si>
  <si>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</si>
  <si>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</si>
  <si>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</si>
  <si>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</si>
  <si>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</si>
  <si>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</si>
  <si>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</si>
  <si>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</si>
  <si>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</si>
  <si>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</si>
  <si>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</si>
  <si>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</si>
  <si>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</si>
  <si>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</si>
  <si>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</si>
  <si>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</si>
  <si>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</si>
  <si>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</si>
  <si>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</si>
  <si>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</si>
  <si>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</si>
  <si>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</si>
  <si>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</si>
  <si>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</si>
  <si>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</si>
  <si>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</si>
  <si>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</si>
  <si>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</si>
  <si>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</si>
  <si>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</si>
  <si>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</si>
  <si>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</si>
  <si>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</si>
  <si>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</si>
  <si>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</si>
  <si>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</si>
  <si>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</si>
  <si>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</si>
  <si>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</si>
  <si>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</si>
  <si>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</si>
  <si>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</si>
  <si>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</si>
  <si>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</si>
  <si>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</si>
  <si>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</si>
  <si>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</si>
  <si>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</si>
  <si>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</si>
  <si>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</si>
  <si>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</si>
  <si>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</si>
  <si>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</si>
  <si>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</si>
  <si>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</si>
  <si>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</si>
  <si>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</si>
  <si>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</si>
  <si>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</si>
  <si>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</si>
  <si>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</si>
  <si>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</si>
  <si>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</si>
  <si>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</si>
  <si>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</si>
  <si>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</si>
  <si>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</si>
  <si>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</si>
  <si>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</si>
  <si>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</si>
  <si>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</si>
  <si>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</si>
  <si>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</si>
  <si>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</si>
  <si>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</si>
  <si>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</si>
  <si>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</si>
  <si>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</si>
  <si>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</si>
  <si>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</si>
  <si>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</si>
  <si>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</si>
  <si>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</si>
  <si>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</si>
  <si>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</si>
  <si>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</si>
  <si>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</si>
  <si>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</si>
  <si>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</si>
  <si>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</si>
  <si>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</si>
  <si>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</si>
  <si>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</si>
  <si>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</si>
  <si>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</si>
  <si>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</si>
  <si>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</si>
  <si>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</si>
  <si>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</si>
  <si>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</si>
  <si>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</si>
  <si>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</si>
  <si>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</si>
  <si>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</si>
  <si>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</si>
  <si>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</si>
  <si>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</si>
  <si>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</si>
  <si>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</si>
  <si>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</si>
  <si>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</si>
  <si>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</si>
  <si>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</si>
  <si>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</si>
  <si>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</si>
  <si>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</si>
  <si>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</si>
  <si>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</si>
  <si>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</si>
  <si>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</si>
  <si>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</si>
  <si>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</si>
  <si>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</si>
  <si>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</si>
  <si>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</si>
  <si>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</si>
  <si>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</si>
  <si>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</si>
  <si>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</si>
  <si>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</si>
  <si>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</si>
  <si>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</si>
  <si>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</si>
  <si>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</si>
  <si>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</si>
  <si>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</si>
  <si>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</si>
  <si>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</si>
  <si>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</si>
  <si>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</si>
  <si>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</si>
  <si>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</si>
  <si>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</si>
  <si>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</si>
  <si>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</si>
  <si>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</si>
  <si>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</si>
  <si>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</si>
  <si>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</si>
  <si>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</si>
  <si>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</si>
  <si>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</si>
  <si>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</si>
  <si>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</si>
  <si>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</si>
  <si>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</si>
  <si>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</si>
  <si>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</si>
  <si>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</si>
  <si>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</si>
  <si>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</si>
  <si>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</si>
  <si>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</si>
  <si>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</si>
  <si>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</si>
  <si>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</si>
  <si>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</si>
  <si>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</si>
  <si>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</si>
  <si>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</si>
  <si>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</si>
  <si>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</si>
  <si>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</si>
  <si>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</si>
  <si>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</si>
  <si>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</si>
  <si>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</si>
  <si>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</si>
  <si>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</si>
  <si>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</si>
  <si>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</si>
  <si>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</si>
  <si>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</si>
  <si>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</si>
  <si>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</si>
  <si>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</si>
  <si>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</si>
  <si>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</si>
  <si>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</si>
  <si>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</si>
  <si>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</si>
  <si>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</si>
  <si>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</si>
  <si>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</si>
  <si>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</si>
  <si>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</si>
  <si>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</si>
  <si>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</si>
  <si>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</si>
  <si>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</si>
  <si>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</si>
  <si>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</si>
  <si>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</si>
  <si>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</si>
  <si>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</si>
  <si>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</si>
  <si>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</si>
  <si>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</si>
  <si>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</si>
  <si>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</si>
  <si>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</si>
  <si>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</si>
  <si>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</si>
  <si>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</si>
  <si>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</si>
  <si>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</si>
  <si>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</si>
  <si>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</si>
  <si>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</si>
  <si>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</si>
  <si>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</si>
  <si>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</si>
  <si>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</si>
  <si>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</si>
  <si>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</si>
  <si>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</si>
  <si>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</si>
  <si>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</si>
  <si>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</si>
  <si>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</si>
  <si>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</si>
  <si>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</si>
  <si>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</si>
  <si>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</si>
  <si>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</si>
  <si>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</si>
  <si>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</si>
  <si>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</si>
  <si>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</si>
  <si>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</si>
  <si>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</si>
  <si>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</si>
  <si>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</si>
  <si>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</si>
  <si>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</si>
  <si>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</si>
  <si>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</si>
  <si>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</si>
  <si>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</si>
  <si>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</si>
  <si>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</si>
  <si>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</si>
  <si>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</si>
  <si>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</si>
  <si>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</si>
  <si>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</si>
  <si>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</si>
  <si>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</si>
  <si>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</si>
  <si>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</si>
  <si>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</si>
  <si>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</si>
  <si>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</si>
  <si>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</si>
  <si>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</si>
  <si>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</si>
  <si>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</si>
  <si>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</si>
  <si>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</si>
  <si>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</si>
  <si>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</si>
  <si>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</si>
  <si>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</si>
  <si>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</si>
  <si>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</si>
  <si>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</si>
  <si>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</si>
  <si>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</si>
  <si>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</si>
  <si>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</si>
  <si>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</si>
  <si>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</si>
  <si>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</si>
  <si>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</si>
  <si>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</si>
  <si>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</si>
  <si>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</si>
  <si>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</si>
  <si>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</si>
  <si>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</si>
  <si>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</si>
  <si>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</si>
  <si>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</si>
  <si>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</si>
  <si>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</si>
  <si>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</si>
  <si>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</si>
  <si>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</si>
  <si>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</si>
  <si>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</si>
  <si>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</si>
  <si>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</si>
  <si>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</si>
  <si>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</si>
  <si>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</si>
  <si>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</si>
  <si>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</si>
  <si>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</si>
  <si>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</si>
  <si>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</si>
  <si>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</si>
  <si>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</si>
  <si>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</si>
  <si>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</si>
  <si>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</si>
  <si>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</si>
  <si>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</si>
  <si>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</si>
  <si>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</si>
  <si>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</si>
  <si>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</si>
  <si>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</si>
  <si>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</si>
  <si>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</si>
  <si>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</si>
  <si>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</si>
  <si>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</si>
  <si>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</si>
  <si>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</si>
  <si>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</si>
  <si>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</si>
  <si>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</si>
  <si>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</si>
  <si>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</si>
  <si>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</si>
  <si>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</si>
  <si>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</si>
  <si>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</si>
  <si>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</si>
  <si>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</si>
  <si>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</si>
  <si>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</si>
  <si>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</si>
  <si>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</si>
  <si>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</si>
  <si>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</si>
  <si>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</si>
  <si>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</si>
  <si>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</si>
  <si>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</si>
  <si>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</si>
  <si>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</si>
  <si>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</si>
  <si>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</si>
  <si>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</si>
  <si>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</si>
  <si>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</si>
  <si>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</si>
  <si>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</si>
  <si>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</si>
  <si>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</si>
  <si>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</si>
  <si>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</si>
  <si>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</si>
  <si>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</si>
  <si>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</si>
  <si>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</si>
  <si>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</si>
  <si>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</si>
  <si>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</si>
  <si>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</si>
  <si>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</si>
  <si>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</si>
  <si>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</si>
  <si>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</si>
  <si>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</si>
  <si>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</si>
  <si>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</si>
  <si>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</si>
  <si>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</si>
  <si>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</si>
  <si>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</si>
  <si>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</si>
  <si>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</si>
  <si>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</si>
  <si>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</si>
  <si>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</si>
  <si>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</si>
  <si>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</si>
  <si>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</si>
  <si>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</si>
  <si>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</si>
  <si>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</si>
  <si>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</si>
  <si>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</si>
  <si>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</si>
  <si>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</si>
  <si>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</si>
  <si>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</si>
  <si>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</si>
  <si>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</si>
  <si>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</si>
  <si>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</si>
  <si>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</si>
  <si>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</si>
  <si>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</si>
  <si>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</si>
  <si>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</si>
  <si>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</si>
  <si>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</si>
  <si>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</si>
  <si>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</si>
  <si>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</si>
  <si>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</si>
  <si>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</si>
  <si>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</si>
  <si>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</si>
  <si>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</si>
  <si>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</si>
  <si>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</si>
  <si>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</si>
  <si>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</si>
  <si>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</si>
  <si>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</si>
  <si>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</si>
  <si>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</si>
  <si>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</si>
  <si>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</si>
  <si>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</si>
  <si>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</si>
  <si>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</si>
  <si>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</si>
  <si>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</si>
  <si>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</si>
  <si>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</si>
  <si>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</si>
  <si>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</si>
  <si>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</si>
  <si>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</si>
  <si>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</si>
  <si>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</si>
  <si>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</si>
  <si>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</si>
  <si>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</si>
  <si>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</si>
  <si>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</si>
  <si>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</si>
  <si>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</si>
  <si>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</si>
  <si>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</si>
  <si>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</si>
  <si>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</si>
  <si>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</si>
  <si>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</si>
  <si>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</si>
  <si>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</si>
  <si>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</si>
  <si>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</si>
  <si>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</si>
  <si>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</si>
  <si>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</si>
  <si>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</si>
  <si>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</si>
  <si>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</si>
  <si>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</si>
  <si>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</si>
  <si>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</si>
  <si>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</si>
  <si>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</si>
  <si>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</si>
  <si>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</si>
  <si>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</si>
  <si>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</si>
  <si>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</si>
  <si>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</si>
  <si>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</si>
  <si>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</si>
  <si>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</si>
  <si>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</si>
  <si>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</si>
  <si>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</si>
  <si>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</si>
  <si>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</si>
  <si>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</si>
  <si>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</si>
  <si>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</si>
  <si>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</si>
  <si>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</si>
  <si>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</si>
  <si>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</si>
  <si>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</si>
  <si>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</si>
  <si>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</si>
  <si>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</si>
  <si>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</si>
  <si>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</si>
  <si>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</si>
  <si>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</si>
  <si>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</si>
  <si>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</si>
  <si>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</si>
  <si>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</si>
  <si>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</si>
  <si>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</si>
  <si>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</si>
  <si>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</si>
  <si>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</si>
  <si>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</si>
  <si>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</si>
  <si>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</si>
  <si>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</si>
  <si>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</si>
  <si>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</si>
  <si>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</si>
  <si>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</si>
  <si>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</si>
  <si>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</si>
  <si>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</si>
  <si>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</si>
  <si>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</si>
  <si>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</si>
  <si>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</si>
  <si>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</si>
  <si>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</si>
  <si>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</si>
  <si>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</si>
  <si>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</si>
  <si>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</si>
  <si>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</si>
  <si>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</si>
  <si>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</si>
  <si>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</si>
  <si>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</si>
  <si>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</si>
  <si>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</si>
  <si>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</si>
  <si>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</si>
  <si>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</si>
  <si>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</si>
  <si>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</si>
  <si>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</si>
  <si>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</si>
  <si>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</si>
  <si>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</si>
  <si>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</si>
  <si>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</si>
  <si>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</si>
  <si>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</si>
  <si>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</si>
  <si>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</si>
  <si>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</si>
  <si>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</si>
  <si>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</si>
  <si>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</si>
  <si>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</si>
  <si>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</si>
  <si>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</si>
  <si>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</si>
  <si>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</si>
  <si>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</si>
  <si>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</si>
  <si>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</si>
  <si>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</si>
  <si>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</si>
  <si>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</si>
  <si>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</si>
  <si>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</si>
  <si>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</si>
  <si>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</si>
  <si>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</si>
  <si>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</si>
  <si>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</si>
  <si>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</si>
  <si>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</si>
  <si>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</si>
  <si>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</si>
  <si>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</si>
  <si>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</si>
  <si>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</si>
  <si>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</si>
  <si>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</si>
  <si>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</si>
  <si>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</si>
  <si>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</si>
  <si>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</si>
  <si>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</si>
  <si>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</si>
  <si>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</si>
  <si>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</si>
  <si>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</si>
  <si>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</si>
  <si>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</si>
  <si>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</si>
  <si>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</si>
  <si>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</si>
  <si>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</si>
  <si>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</si>
  <si>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</si>
  <si>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</si>
  <si>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</si>
  <si>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</si>
  <si>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</si>
  <si>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</si>
  <si>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</si>
  <si>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</si>
  <si>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</si>
  <si>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</si>
  <si>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</si>
  <si>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</si>
  <si>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</si>
  <si>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</si>
  <si>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</si>
  <si>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</si>
  <si>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</si>
  <si>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</si>
  <si>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</si>
  <si>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</si>
  <si>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</si>
  <si>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</si>
  <si>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</si>
  <si>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</si>
  <si>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</si>
  <si>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</si>
  <si>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</si>
  <si>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</si>
  <si>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</si>
  <si>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</si>
  <si>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</si>
  <si>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</si>
  <si>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</si>
  <si>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</si>
  <si>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</si>
  <si>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</si>
  <si>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</si>
  <si>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</si>
  <si>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</si>
  <si>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</si>
  <si>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</si>
  <si>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</si>
  <si>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</si>
  <si>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</si>
  <si>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</si>
  <si>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</si>
  <si>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</si>
  <si>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</si>
  <si>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</si>
  <si>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</si>
  <si>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</si>
  <si>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</si>
  <si>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</si>
  <si>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</si>
  <si>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</si>
  <si>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</si>
  <si>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</si>
  <si>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</si>
  <si>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</si>
  <si>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</si>
  <si>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</si>
  <si>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</si>
  <si>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</si>
  <si>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</si>
  <si>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</si>
  <si>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</si>
  <si>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</si>
  <si>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</si>
  <si>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</si>
  <si>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</si>
  <si>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</si>
  <si>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</si>
  <si>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</si>
  <si>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</si>
  <si>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</si>
  <si>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</si>
  <si>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</si>
  <si>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</si>
  <si>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</si>
  <si>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</si>
  <si>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</si>
  <si>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</si>
  <si>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</si>
  <si>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</si>
  <si>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</si>
  <si>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</si>
  <si>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</si>
  <si>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</si>
  <si>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</si>
  <si>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</si>
  <si>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</si>
  <si>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</si>
  <si>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</si>
  <si>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</si>
  <si>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</si>
  <si>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</si>
  <si>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</si>
  <si>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</si>
  <si>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</si>
  <si>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</si>
  <si>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</si>
  <si>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</si>
  <si>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</si>
  <si>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</si>
  <si>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</si>
  <si>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</si>
  <si>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</si>
  <si>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</si>
  <si>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</si>
  <si>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</si>
  <si>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</si>
  <si>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</si>
  <si>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</si>
  <si>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</si>
  <si>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</si>
  <si>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</si>
  <si>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</si>
  <si>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</si>
  <si>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</si>
  <si>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</si>
  <si>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</si>
  <si>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</si>
  <si>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</si>
  <si>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</si>
  <si>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</si>
  <si>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</si>
  <si>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</si>
  <si>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</si>
  <si>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</si>
  <si>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</si>
  <si>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</si>
  <si>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</si>
  <si>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</si>
  <si>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</si>
  <si>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</si>
  <si>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</si>
  <si>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</si>
  <si>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</si>
  <si>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</si>
  <si>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</si>
  <si>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</si>
  <si>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</si>
  <si>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</si>
  <si>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</si>
  <si>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</si>
  <si>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</si>
  <si>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</si>
  <si>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</si>
  <si>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</si>
  <si>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</si>
  <si>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</si>
  <si>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</si>
  <si>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</si>
  <si>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</si>
  <si>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</si>
  <si>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</si>
  <si>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</si>
  <si>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</si>
  <si>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</si>
  <si>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</si>
  <si>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</si>
  <si>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</si>
  <si>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</si>
  <si>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</si>
  <si>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</si>
  <si>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</si>
  <si>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</si>
  <si>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</si>
  <si>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</si>
  <si>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</si>
  <si>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</si>
  <si>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</si>
  <si>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</si>
  <si>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</si>
  <si>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</si>
  <si>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</si>
  <si>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</si>
  <si>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</si>
  <si>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</si>
  <si>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</si>
  <si>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</si>
  <si>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</si>
  <si>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</si>
  <si>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</si>
  <si>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</si>
  <si>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</si>
  <si>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</si>
  <si>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</si>
  <si>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</si>
  <si>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</si>
  <si>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</si>
  <si>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</si>
  <si>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</si>
  <si>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</si>
  <si>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</si>
  <si>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</si>
  <si>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</si>
  <si>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</si>
  <si>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</si>
  <si>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</si>
  <si>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</si>
  <si>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</si>
  <si>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</si>
  <si>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</si>
  <si>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</si>
  <si>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</si>
  <si>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</si>
  <si>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</si>
  <si>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</si>
  <si>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</si>
  <si>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</si>
  <si>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</si>
  <si>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</si>
  <si>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</si>
  <si>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</si>
  <si>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</si>
  <si>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</si>
  <si>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</si>
  <si>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</si>
  <si>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</si>
  <si>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</si>
  <si>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</si>
  <si>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</si>
  <si>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</si>
  <si>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</si>
  <si>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</si>
  <si>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</si>
  <si>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</si>
  <si>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</si>
  <si>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</si>
  <si>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</si>
  <si>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</si>
  <si>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</si>
  <si>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</si>
  <si>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</si>
  <si>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</si>
  <si>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</si>
  <si>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</si>
  <si>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</si>
  <si>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</si>
  <si>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</si>
  <si>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</si>
  <si>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</si>
  <si>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</si>
  <si>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</si>
  <si>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</si>
  <si>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</si>
  <si>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</si>
  <si>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</si>
  <si>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</si>
  <si>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</si>
  <si>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</si>
  <si>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</si>
  <si>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</si>
  <si>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</si>
  <si>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</si>
  <si>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</si>
  <si>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</si>
  <si>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</si>
  <si>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</si>
  <si>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</si>
  <si>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</si>
  <si>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</si>
  <si>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</si>
  <si>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</si>
  <si>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</si>
  <si>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</si>
  <si>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</si>
  <si>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</si>
  <si>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</si>
  <si>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</si>
  <si>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</si>
  <si>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</si>
  <si>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</si>
  <si>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</si>
  <si>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</si>
  <si>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</si>
  <si>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</si>
  <si>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</si>
  <si>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</si>
  <si>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</si>
  <si>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</si>
  <si>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</si>
  <si>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</si>
  <si>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</si>
  <si>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</si>
  <si>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</si>
  <si>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</si>
  <si>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</si>
  <si>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</si>
  <si>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</si>
  <si>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</si>
  <si>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</si>
  <si>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</si>
  <si>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</si>
  <si>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</si>
  <si>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</si>
  <si>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</si>
  <si>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</si>
  <si>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</si>
  <si>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</si>
  <si>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</si>
  <si>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</si>
  <si>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</si>
  <si>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</si>
  <si>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</si>
  <si>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</si>
  <si>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</si>
  <si>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</si>
  <si>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</si>
  <si>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</si>
  <si>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</si>
  <si>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</si>
  <si>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</si>
  <si>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</si>
  <si>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</si>
  <si>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</si>
  <si>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</si>
  <si>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</si>
  <si>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</si>
  <si>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</si>
  <si>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</si>
  <si>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</si>
  <si>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</si>
  <si>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</si>
  <si>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</si>
  <si>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</si>
  <si>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</si>
  <si>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</si>
  <si>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</si>
  <si>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</si>
  <si>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</si>
  <si>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</si>
  <si>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</si>
  <si>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</si>
  <si>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</si>
  <si>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</si>
  <si>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</si>
  <si>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</si>
  <si>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</si>
  <si>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</si>
  <si>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</si>
  <si>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</si>
  <si>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</si>
  <si>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</si>
  <si>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</si>
  <si>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</si>
  <si>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</si>
  <si>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</si>
  <si>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</si>
  <si>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</si>
  <si>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</si>
  <si>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</si>
  <si>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</si>
  <si>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</si>
  <si>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</si>
  <si>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</si>
  <si>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</si>
  <si>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</si>
  <si>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</si>
  <si>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</si>
  <si>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</si>
  <si>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</si>
  <si>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</si>
  <si>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</si>
  <si>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</si>
  <si>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</si>
  <si>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</si>
  <si>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</si>
  <si>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</si>
  <si>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</si>
  <si>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</si>
  <si>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</si>
  <si>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</si>
  <si>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</si>
  <si>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</si>
  <si>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</si>
  <si>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</si>
  <si>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</si>
  <si>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</si>
  <si>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</si>
  <si>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</si>
  <si>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</si>
  <si>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</si>
  <si>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</si>
  <si>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</si>
  <si>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</si>
  <si>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</si>
  <si>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</si>
  <si>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</si>
  <si>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</si>
  <si>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</si>
  <si>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</si>
  <si>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</si>
  <si>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</si>
  <si>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</si>
  <si>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</si>
  <si>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</si>
  <si>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</si>
  <si>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</si>
  <si>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</si>
  <si>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</si>
  <si>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</si>
  <si>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</si>
  <si>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</si>
  <si>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</si>
  <si>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</si>
  <si>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</si>
  <si>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</si>
  <si>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</si>
  <si>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</si>
  <si>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</si>
  <si>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</si>
  <si>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</si>
  <si>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</si>
  <si>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</si>
  <si>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</si>
  <si>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</si>
  <si>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</si>
  <si>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</si>
  <si>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</si>
  <si>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</si>
  <si>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</si>
  <si>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</si>
  <si>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</si>
  <si>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</si>
  <si>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</si>
  <si>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</si>
  <si>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</si>
  <si>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</si>
  <si>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</si>
  <si>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</si>
  <si>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</si>
  <si>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</si>
  <si>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</si>
  <si>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</si>
  <si>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</si>
  <si>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</si>
  <si>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</si>
  <si>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</si>
  <si>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</si>
  <si>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</si>
  <si>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</si>
  <si>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</si>
  <si>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</si>
  <si>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</si>
  <si>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</si>
  <si>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</si>
  <si>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</si>
  <si>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</si>
  <si>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</si>
  <si>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</si>
  <si>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</si>
  <si>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</si>
  <si>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</si>
  <si>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</si>
  <si>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</si>
  <si>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</si>
  <si>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</si>
  <si>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</si>
  <si>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</si>
  <si>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</si>
  <si>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</si>
  <si>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</si>
  <si>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</si>
  <si>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</si>
  <si>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</si>
  <si>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</si>
  <si>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</si>
  <si>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</si>
  <si>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</si>
  <si>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</si>
  <si>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</si>
  <si>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</si>
  <si>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</si>
  <si>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</si>
  <si>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</si>
  <si>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</si>
  <si>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</si>
  <si>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</si>
  <si>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</si>
  <si>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</si>
  <si>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</si>
  <si>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</si>
  <si>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</si>
  <si>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</si>
  <si>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</si>
  <si>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</si>
  <si>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</si>
  <si>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</si>
  <si>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</si>
  <si>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</si>
  <si>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</si>
  <si>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</si>
  <si>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</si>
  <si>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</si>
  <si>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</si>
  <si>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</si>
  <si>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</si>
  <si>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</si>
  <si>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</si>
  <si>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</si>
  <si>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</si>
  <si>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</si>
  <si>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</si>
  <si>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</si>
  <si>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</si>
  <si>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</si>
  <si>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</si>
  <si>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</si>
  <si>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</si>
  <si>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</si>
  <si>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</si>
  <si>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</si>
  <si>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</si>
  <si>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</si>
  <si>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</si>
  <si>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</si>
  <si>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</si>
  <si>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</si>
  <si>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</si>
  <si>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</si>
  <si>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</si>
  <si>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</si>
  <si>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</si>
  <si>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</si>
  <si>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</si>
  <si>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</si>
  <si>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</si>
  <si>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</si>
  <si>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</si>
  <si>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</si>
  <si>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</si>
  <si>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</si>
  <si>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</si>
  <si>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</si>
  <si>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</si>
  <si>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</si>
  <si>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</si>
  <si>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</si>
  <si>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</si>
  <si>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</si>
  <si>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</si>
  <si>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</si>
  <si>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</si>
  <si>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</si>
  <si>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</si>
  <si>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</si>
  <si>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</si>
  <si>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</si>
  <si>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</si>
  <si>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</si>
  <si>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</si>
  <si>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</si>
  <si>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</si>
  <si>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</si>
  <si>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</si>
  <si>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</si>
  <si>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</si>
  <si>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</si>
  <si>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</si>
  <si>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</si>
  <si>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</si>
  <si>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</si>
  <si>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</si>
  <si>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</si>
  <si>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</si>
  <si>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</si>
  <si>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</si>
  <si>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</si>
  <si>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</si>
  <si>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</si>
  <si>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</si>
  <si>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</si>
  <si>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</si>
  <si>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</si>
  <si>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</si>
  <si>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</si>
  <si>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</si>
  <si>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</si>
  <si>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</si>
  <si>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</si>
  <si>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</si>
  <si>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</si>
  <si>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</si>
  <si>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</si>
  <si>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</si>
  <si>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</si>
  <si>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</si>
  <si>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</si>
  <si>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</si>
  <si>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</si>
  <si>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</si>
  <si>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</si>
  <si>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</si>
  <si>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</si>
  <si>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</si>
  <si>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</si>
  <si>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</si>
  <si>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</si>
  <si>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</si>
  <si>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</si>
  <si>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</si>
  <si>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</si>
  <si>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</si>
  <si>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</si>
  <si>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</si>
  <si>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</si>
  <si>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</si>
  <si>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</si>
  <si>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</si>
  <si>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</si>
  <si>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</si>
  <si>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</si>
  <si>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</si>
  <si>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</si>
  <si>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</si>
  <si>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</si>
  <si>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</si>
  <si>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</si>
  <si>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</si>
  <si>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</si>
  <si>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</si>
  <si>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</si>
  <si>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</si>
  <si>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</si>
  <si>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</si>
  <si>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</si>
  <si>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</si>
  <si>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</si>
  <si>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</si>
  <si>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</si>
  <si>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</si>
  <si>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</si>
  <si>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</si>
  <si>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</si>
  <si>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</si>
  <si>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</si>
  <si>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</si>
  <si>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</si>
  <si>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</si>
  <si>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</si>
  <si>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</si>
  <si>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</si>
  <si>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</si>
  <si>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</si>
  <si>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</si>
  <si>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</si>
  <si>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</si>
  <si>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</si>
  <si>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</si>
  <si>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</si>
  <si>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</si>
  <si>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</si>
  <si>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</si>
  <si>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</si>
  <si>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</si>
  <si>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</si>
  <si>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</si>
  <si>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</si>
  <si>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</si>
  <si>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</si>
  <si>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</si>
  <si>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</si>
  <si>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</si>
  <si>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</si>
  <si>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</si>
  <si>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</si>
  <si>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</si>
  <si>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</si>
  <si>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</si>
  <si>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</si>
  <si>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</si>
  <si>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</si>
  <si>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</si>
  <si>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</si>
  <si>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</si>
  <si>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</si>
  <si>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</si>
  <si>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</si>
  <si>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</si>
  <si>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</si>
  <si>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</si>
  <si>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</si>
  <si>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</si>
  <si>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</si>
  <si>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</si>
  <si>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</si>
  <si>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</si>
  <si>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</si>
  <si>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</si>
  <si>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</si>
  <si>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</si>
  <si>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</si>
  <si>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</si>
  <si>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</si>
  <si>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</si>
  <si>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</si>
  <si>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</si>
  <si>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</si>
  <si>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</si>
  <si>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</si>
  <si>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</si>
  <si>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</si>
  <si>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</si>
  <si>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</si>
  <si>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</si>
  <si>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</si>
  <si>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</si>
  <si>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</si>
  <si>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</si>
  <si>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</si>
  <si>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</si>
  <si>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</si>
  <si>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</si>
  <si>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</si>
  <si>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</si>
  <si>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</si>
  <si>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</si>
  <si>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</si>
  <si>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</si>
  <si>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</si>
  <si>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</si>
  <si>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</si>
  <si>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</si>
  <si>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</si>
  <si>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</si>
  <si>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</si>
  <si>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</si>
  <si>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</si>
  <si>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</si>
  <si>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</si>
  <si>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</si>
  <si>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</si>
  <si>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</si>
  <si>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</si>
  <si>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</si>
  <si>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</si>
  <si>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</si>
  <si>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</si>
  <si>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</si>
  <si>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</si>
  <si>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</si>
  <si>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</si>
  <si>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</si>
  <si>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</si>
  <si>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</si>
  <si>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</si>
  <si>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</si>
  <si>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</si>
  <si>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</si>
  <si>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</si>
  <si>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</si>
  <si>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</si>
  <si>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</si>
  <si>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</si>
  <si>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</si>
  <si>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</si>
  <si>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</si>
  <si>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</si>
  <si>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</si>
  <si>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</si>
  <si>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</si>
  <si>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</si>
  <si>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</si>
  <si>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</si>
  <si>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</si>
  <si>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</si>
  <si>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</si>
  <si>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</si>
  <si>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</si>
  <si>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</si>
  <si>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</si>
  <si>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</si>
  <si>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</si>
  <si>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</si>
  <si>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</si>
  <si>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</si>
  <si>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</si>
  <si>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</si>
  <si>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</si>
  <si>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</si>
  <si>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</si>
  <si>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</si>
  <si>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</si>
  <si>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</si>
  <si>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</si>
  <si>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</si>
  <si>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</si>
  <si>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</si>
  <si>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</si>
  <si>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</si>
  <si>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</si>
  <si>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</si>
  <si>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</si>
  <si>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</si>
  <si>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</si>
  <si>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</si>
  <si>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</si>
  <si>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</si>
  <si>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</si>
  <si>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</si>
  <si>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</si>
  <si>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</si>
  <si>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</si>
  <si>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</si>
  <si>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</si>
  <si>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</si>
  <si>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</si>
  <si>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</si>
  <si>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</si>
  <si>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</si>
  <si>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</si>
  <si>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</si>
  <si>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</si>
  <si>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</si>
  <si>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</si>
  <si>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</si>
  <si>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</si>
  <si>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</si>
  <si>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</si>
  <si>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</si>
  <si>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</si>
  <si>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</si>
  <si>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</si>
  <si>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</si>
  <si>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</si>
  <si>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</si>
  <si>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</si>
  <si>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</si>
  <si>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</si>
  <si>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</si>
  <si>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</si>
  <si>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</si>
  <si>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</si>
  <si>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</si>
  <si>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</si>
  <si>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</si>
  <si>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</si>
  <si>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</si>
  <si>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</si>
  <si>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</si>
  <si>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</si>
  <si>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</si>
  <si>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</si>
  <si>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</si>
  <si>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</si>
  <si>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</si>
  <si>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</si>
  <si>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</si>
  <si>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</si>
  <si>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</si>
  <si>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</si>
  <si>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</si>
  <si>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</si>
  <si>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</si>
  <si>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</si>
  <si>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</si>
  <si>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</si>
  <si>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</si>
  <si>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</si>
  <si>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</si>
  <si>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</si>
  <si>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</si>
  <si>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</si>
  <si>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</si>
  <si>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</si>
  <si>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</si>
  <si>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</si>
  <si>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</si>
  <si>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</si>
  <si>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</si>
  <si>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</si>
  <si>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</si>
  <si>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</si>
  <si>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</si>
  <si>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</si>
  <si>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</si>
  <si>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</si>
  <si>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</si>
  <si>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</si>
  <si>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</si>
  <si>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</si>
  <si>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</si>
  <si>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</si>
  <si>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</si>
  <si>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</si>
  <si>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</si>
  <si>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</si>
  <si>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</si>
  <si>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</si>
  <si>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</si>
  <si>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</si>
  <si>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</si>
  <si>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</si>
  <si>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</si>
  <si>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</si>
  <si>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</si>
  <si>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</si>
  <si>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</si>
  <si>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</si>
  <si>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</si>
  <si>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</si>
  <si>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</si>
  <si>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</si>
  <si>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</si>
  <si>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</si>
  <si>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</si>
  <si>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</si>
  <si>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</si>
  <si>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</si>
  <si>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</si>
  <si>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</si>
  <si>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</si>
  <si>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</si>
  <si>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</si>
  <si>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</si>
  <si>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</si>
  <si>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</si>
  <si>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</si>
  <si>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</si>
  <si>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</si>
  <si>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</si>
  <si>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</si>
  <si>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</si>
  <si>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</si>
  <si>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</si>
  <si>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</si>
  <si>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</si>
  <si>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</si>
  <si>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</si>
  <si>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</si>
  <si>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</si>
  <si>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</si>
  <si>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</si>
  <si>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</si>
  <si>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</si>
  <si>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</si>
  <si>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</si>
  <si>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</si>
  <si>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</si>
  <si>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</si>
  <si>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</si>
  <si>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</si>
  <si>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</si>
  <si>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</si>
  <si>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</si>
  <si>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</si>
  <si>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</si>
  <si>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</si>
  <si>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</si>
  <si>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</si>
  <si>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</si>
  <si>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</si>
  <si>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</si>
  <si>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</si>
  <si>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</si>
  <si>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</si>
  <si>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</si>
  <si>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</si>
  <si>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</si>
  <si>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</si>
  <si>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</si>
  <si>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</si>
  <si>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</si>
  <si>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</si>
  <si>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</si>
  <si>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</si>
  <si>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</si>
  <si>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</si>
  <si>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</si>
  <si>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</si>
  <si>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</si>
  <si>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</si>
  <si>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</si>
  <si>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</si>
  <si>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</si>
  <si>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</si>
  <si>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</si>
  <si>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</si>
  <si>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</si>
  <si>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</si>
  <si>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</si>
  <si>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</si>
  <si>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</si>
  <si>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</si>
  <si>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</si>
  <si>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</si>
  <si>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</si>
  <si>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</si>
  <si>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</si>
  <si>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</si>
  <si>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</si>
  <si>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</si>
  <si>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</si>
  <si>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</si>
  <si>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</si>
  <si>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</si>
  <si>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</si>
  <si>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</si>
  <si>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</si>
  <si>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</si>
  <si>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</si>
  <si>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</si>
  <si>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</si>
  <si>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</si>
  <si>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</si>
  <si>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</si>
  <si>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</si>
  <si>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</si>
  <si>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</si>
  <si>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</si>
  <si>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</si>
  <si>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</si>
  <si>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</si>
  <si>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</si>
  <si>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</si>
  <si>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</si>
  <si>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</si>
  <si>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</si>
  <si>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</si>
  <si>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</si>
  <si>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</si>
  <si>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</si>
  <si>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</si>
  <si>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</si>
  <si>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</si>
  <si>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</si>
  <si>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</si>
  <si>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</si>
  <si>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</si>
  <si>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</si>
  <si>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</si>
  <si>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</si>
  <si>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</si>
  <si>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</si>
  <si>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</si>
  <si>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</si>
  <si>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</si>
  <si>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</si>
  <si>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</si>
  <si>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</si>
  <si>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</si>
  <si>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</si>
  <si>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</si>
  <si>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</si>
  <si>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</si>
  <si>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</si>
  <si>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</si>
  <si>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</si>
  <si>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</si>
  <si>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</si>
  <si>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</si>
  <si>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</si>
  <si>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</si>
  <si>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</si>
  <si>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</si>
  <si>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</si>
  <si>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</si>
  <si>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</si>
  <si>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</si>
  <si>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</si>
  <si>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</si>
  <si>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</si>
  <si>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</si>
  <si>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</si>
  <si>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</si>
  <si>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</si>
  <si>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</si>
  <si>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</si>
  <si>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</si>
  <si>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</si>
  <si>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</si>
  <si>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</si>
  <si>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</si>
  <si>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</si>
  <si>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</si>
  <si>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</si>
  <si>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</si>
  <si>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</si>
  <si>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</si>
  <si>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</si>
  <si>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</si>
  <si>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</si>
  <si>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</si>
  <si>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</si>
  <si>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</si>
  <si>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</si>
  <si>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</si>
  <si>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</si>
  <si>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</si>
  <si>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</si>
  <si>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</si>
  <si>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</si>
  <si>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</si>
  <si>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</si>
  <si>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</si>
  <si>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</si>
  <si>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</si>
  <si>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</si>
  <si>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</si>
  <si>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</si>
  <si>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</si>
  <si>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</si>
  <si>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</si>
  <si>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</si>
  <si>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</si>
  <si>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</si>
  <si>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</si>
  <si>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</si>
  <si>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</si>
  <si>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</si>
  <si>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</si>
  <si>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</si>
  <si>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</si>
  <si>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</si>
  <si>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</si>
  <si>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</si>
  <si>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</si>
  <si>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</si>
  <si>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</si>
  <si>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</si>
  <si>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</si>
  <si>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</si>
  <si>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</si>
  <si>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</si>
  <si>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</si>
  <si>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</si>
  <si>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</si>
  <si>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</si>
  <si>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</si>
  <si>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</si>
  <si>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</si>
  <si>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</si>
  <si>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</si>
  <si>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</si>
  <si>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</si>
  <si>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</si>
  <si>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</si>
  <si>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</si>
  <si>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</si>
  <si>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</si>
  <si>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</si>
  <si>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</si>
  <si>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</si>
  <si>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</si>
  <si>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</si>
  <si>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</si>
  <si>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</si>
  <si>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</si>
  <si>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</si>
  <si>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</si>
  <si>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</si>
  <si>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</si>
  <si>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</si>
  <si>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</si>
  <si>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</si>
  <si>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</si>
  <si>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</si>
  <si>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</si>
  <si>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</si>
  <si>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</si>
  <si>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</si>
  <si>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</si>
  <si>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</si>
  <si>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</si>
  <si>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</si>
  <si>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</si>
  <si>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</si>
  <si>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</si>
  <si>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</si>
  <si>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</si>
  <si>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</si>
  <si>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</si>
  <si>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</si>
  <si>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</si>
  <si>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</si>
  <si>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</si>
  <si>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</si>
  <si>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</si>
  <si>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</si>
  <si>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</si>
  <si>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</si>
  <si>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</si>
  <si>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</si>
  <si>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</si>
  <si>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</si>
  <si>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</si>
  <si>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</si>
  <si>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</si>
  <si>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</si>
  <si>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</si>
  <si>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</si>
  <si>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</si>
  <si>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</si>
  <si>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</si>
  <si>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</si>
  <si>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</si>
  <si>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</si>
  <si>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</si>
  <si>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</si>
  <si>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</si>
  <si>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</si>
  <si>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</si>
  <si>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</si>
  <si>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</si>
  <si>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</si>
  <si>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</si>
  <si>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</si>
  <si>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</si>
  <si>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</si>
  <si>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</si>
  <si>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</si>
  <si>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</si>
  <si>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</si>
  <si>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</si>
  <si>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</si>
  <si>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</si>
  <si>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</si>
  <si>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</si>
  <si>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</si>
  <si>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</si>
  <si>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</si>
  <si>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</si>
  <si>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</si>
  <si>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</si>
  <si>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</si>
  <si>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</si>
  <si>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</si>
  <si>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</si>
  <si>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</si>
  <si>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</si>
  <si>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</si>
  <si>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</si>
  <si>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</si>
  <si>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</si>
  <si>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</si>
  <si>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</si>
  <si>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</si>
  <si>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</si>
  <si>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</si>
  <si>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</si>
  <si>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</si>
  <si>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</si>
  <si>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</si>
  <si>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</si>
  <si>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</si>
  <si>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</si>
  <si>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</si>
  <si>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</si>
  <si>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</si>
  <si>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</si>
  <si>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</si>
  <si>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</si>
  <si>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</si>
  <si>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</si>
  <si>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</si>
  <si>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</si>
  <si>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</si>
  <si>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</si>
  <si>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</si>
  <si>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</si>
  <si>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</si>
  <si>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</si>
  <si>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</si>
  <si>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</si>
  <si>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</si>
  <si>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</si>
  <si>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</si>
  <si>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</si>
  <si>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</si>
  <si>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</si>
  <si>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</si>
  <si>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</si>
  <si>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</si>
  <si>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</si>
  <si>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</si>
  <si>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</si>
  <si>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</si>
  <si>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</si>
  <si>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</si>
  <si>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</si>
  <si>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</si>
  <si>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</si>
  <si>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</si>
  <si>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</si>
  <si>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</si>
  <si>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</si>
  <si>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</si>
  <si>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</si>
  <si>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</si>
  <si>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</si>
  <si>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</si>
  <si>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</si>
  <si>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</si>
  <si>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</si>
  <si>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</si>
  <si>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</si>
  <si>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</si>
  <si>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</si>
  <si>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</si>
  <si>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</si>
  <si>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</si>
  <si>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</si>
  <si>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</si>
  <si>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</si>
  <si>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</si>
  <si>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</si>
  <si>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</si>
  <si>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</si>
  <si>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</si>
  <si>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</si>
  <si>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</si>
  <si>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</si>
  <si>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</si>
  <si>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</si>
  <si>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</si>
  <si>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</si>
  <si>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</si>
  <si>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</si>
  <si>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</si>
  <si>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</si>
  <si>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</si>
  <si>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</si>
  <si>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</si>
  <si>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</si>
  <si>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</si>
  <si>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</si>
  <si>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</si>
  <si>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</si>
  <si>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</si>
  <si>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</si>
  <si>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</si>
  <si>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</si>
  <si>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</si>
  <si>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</si>
  <si>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</si>
  <si>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</si>
  <si>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</si>
  <si>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</si>
  <si>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</si>
  <si>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</si>
  <si>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</si>
  <si>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</si>
  <si>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</si>
  <si>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</si>
  <si>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</si>
  <si>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</si>
  <si>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</si>
  <si>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</si>
  <si>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</si>
  <si>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</si>
  <si>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</si>
  <si>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</si>
  <si>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</si>
  <si>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</si>
  <si>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</si>
  <si>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</si>
  <si>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</si>
  <si>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</si>
  <si>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</si>
  <si>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</si>
  <si>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</si>
  <si>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</si>
  <si>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</si>
  <si>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</si>
  <si>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</si>
  <si>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</si>
  <si>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</si>
  <si>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</si>
  <si>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</si>
  <si>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</si>
  <si>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</si>
  <si>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</si>
  <si>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</si>
  <si>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</si>
  <si>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</si>
  <si>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</si>
  <si>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</si>
  <si>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</si>
  <si>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</si>
  <si>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</si>
  <si>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</si>
  <si>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</si>
  <si>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</si>
  <si>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</si>
  <si>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</si>
  <si>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</si>
  <si>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</si>
  <si>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</si>
  <si>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</si>
  <si>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</si>
  <si>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</si>
  <si>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</si>
  <si>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</si>
  <si>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</si>
  <si>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</si>
  <si>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</si>
  <si>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</si>
  <si>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</si>
  <si>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</si>
  <si>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</si>
  <si>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</si>
  <si>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</si>
  <si>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</si>
  <si>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</si>
  <si>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</si>
  <si>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</si>
  <si>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</si>
  <si>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</si>
  <si>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</si>
  <si>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</si>
  <si>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</si>
  <si>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</si>
  <si>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</si>
  <si>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</si>
  <si>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</si>
  <si>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</si>
  <si>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</si>
  <si>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</si>
  <si>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</si>
  <si>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</si>
  <si>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</si>
  <si>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</si>
  <si>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</si>
  <si>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</si>
  <si>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</si>
  <si>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</si>
  <si>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</si>
  <si>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</si>
  <si>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</si>
  <si>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</si>
  <si>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</si>
  <si>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</si>
  <si>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</si>
  <si>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</si>
  <si>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</si>
  <si>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</si>
  <si>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</si>
  <si>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</si>
  <si>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</si>
  <si>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</si>
  <si>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</si>
  <si>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</si>
  <si>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</si>
  <si>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</si>
  <si>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</si>
  <si>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</si>
  <si>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</si>
  <si>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</si>
  <si>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</si>
  <si>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</si>
  <si>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</si>
  <si>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</si>
  <si>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</si>
  <si>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</si>
  <si>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</si>
  <si>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</si>
  <si>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</si>
  <si>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</si>
  <si>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</si>
  <si>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</si>
  <si>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</si>
  <si>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</si>
  <si>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</si>
  <si>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</si>
  <si>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</si>
  <si>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</si>
  <si>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</si>
  <si>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</si>
  <si>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</si>
  <si>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</si>
  <si>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</si>
  <si>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</si>
  <si>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</si>
  <si>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</si>
  <si>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</si>
  <si>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</si>
  <si>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</si>
  <si>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</si>
  <si>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</si>
  <si>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</si>
  <si>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</si>
  <si>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</si>
  <si>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</si>
  <si>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</si>
  <si>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</si>
  <si>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</si>
  <si>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</si>
  <si>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</si>
  <si>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</si>
  <si>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</si>
  <si>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</si>
  <si>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</si>
  <si>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</si>
  <si>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</si>
  <si>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</si>
  <si>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</si>
  <si>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</si>
  <si>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</si>
  <si>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</si>
  <si>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</si>
  <si>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</si>
  <si>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</si>
  <si>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</si>
  <si>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</si>
  <si>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</si>
  <si>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</si>
  <si>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</si>
  <si>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</si>
  <si>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</si>
  <si>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</si>
  <si>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</si>
  <si>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</si>
  <si>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</si>
  <si>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</si>
  <si>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</si>
  <si>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</si>
  <si>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</si>
  <si>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</si>
  <si>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</si>
  <si>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</si>
  <si>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</si>
  <si>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</si>
  <si>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</si>
  <si>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</si>
  <si>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</si>
  <si>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</si>
  <si>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</si>
  <si>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</si>
  <si>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</si>
  <si>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</si>
  <si>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</si>
  <si>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</si>
  <si>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</si>
  <si>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</si>
  <si>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</si>
  <si>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</si>
  <si>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</si>
  <si>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</si>
  <si>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</si>
  <si>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</si>
  <si>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</si>
  <si>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</si>
  <si>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</si>
  <si>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</si>
  <si>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</si>
  <si>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</si>
  <si>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</si>
  <si>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</si>
  <si>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</si>
  <si>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</si>
  <si>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</si>
  <si>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</si>
  <si>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</si>
  <si>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</si>
  <si>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</si>
  <si>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</si>
  <si>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</si>
  <si>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</si>
  <si>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</si>
  <si>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</si>
  <si>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</si>
  <si>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</si>
  <si>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</si>
  <si>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</si>
  <si>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</si>
  <si>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</si>
  <si>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</si>
  <si>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</si>
  <si>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</si>
  <si>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</si>
  <si>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</si>
  <si>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</si>
  <si>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</si>
  <si>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</si>
  <si>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</si>
  <si>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</si>
  <si>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</si>
  <si>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</si>
  <si>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</si>
  <si>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</si>
  <si>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</si>
  <si>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</si>
  <si>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</si>
  <si>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</si>
  <si>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</si>
  <si>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</si>
  <si>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</si>
  <si>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</si>
  <si>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</si>
  <si>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</si>
  <si>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</si>
  <si>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</si>
  <si>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</si>
  <si>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</si>
  <si>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</si>
  <si>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</si>
  <si>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</si>
  <si>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</si>
  <si>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</si>
  <si>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</si>
  <si>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</si>
  <si>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</si>
  <si>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</si>
  <si>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</si>
  <si>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</si>
  <si>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</si>
  <si>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</si>
  <si>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</si>
  <si>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</si>
  <si>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</si>
  <si>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</si>
  <si>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</si>
  <si>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</si>
  <si>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</si>
  <si>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</si>
  <si>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</si>
  <si>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</si>
  <si>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</si>
  <si>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</si>
  <si>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</si>
  <si>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</si>
  <si>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</si>
  <si>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</si>
  <si>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</si>
  <si>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</si>
  <si>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</si>
  <si>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</si>
  <si>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</si>
  <si>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</si>
  <si>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</si>
  <si>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</si>
  <si>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</si>
  <si>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</si>
  <si>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</si>
  <si>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</si>
  <si>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</si>
  <si>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</si>
  <si>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</si>
  <si>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</si>
  <si>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</si>
  <si>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</si>
  <si>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</si>
  <si>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</si>
  <si>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</si>
  <si>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</si>
  <si>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</si>
  <si>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</si>
  <si>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</si>
  <si>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</si>
  <si>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</si>
  <si>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</si>
  <si>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</si>
  <si>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</si>
  <si>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</si>
  <si>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</si>
  <si>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</si>
  <si>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</si>
  <si>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</si>
  <si>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</si>
  <si>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</si>
  <si>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</si>
  <si>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</si>
  <si>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</si>
  <si>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</si>
  <si>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</si>
  <si>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</si>
  <si>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</si>
  <si>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</si>
  <si>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</si>
  <si>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</si>
  <si>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</si>
  <si>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</si>
  <si>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</si>
  <si>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</si>
  <si>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</si>
  <si>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</si>
  <si>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</si>
  <si>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</si>
  <si>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</si>
  <si>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</si>
  <si>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</si>
  <si>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</si>
  <si>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</si>
  <si>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</si>
  <si>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</si>
  <si>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</si>
  <si>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</si>
  <si>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</si>
  <si>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</si>
  <si>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</si>
  <si>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</si>
  <si>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</si>
  <si>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</si>
  <si>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</si>
  <si>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</si>
  <si>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</si>
  <si>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</si>
  <si>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</si>
  <si>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</si>
  <si>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</si>
  <si>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</si>
  <si>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</si>
  <si>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</si>
  <si>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</si>
  <si>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</si>
  <si>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</si>
  <si>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</si>
  <si>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</si>
  <si>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</si>
  <si>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</si>
  <si>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</si>
  <si>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</si>
  <si>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</si>
  <si>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</si>
  <si>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</si>
  <si>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</si>
  <si>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</si>
  <si>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</si>
  <si>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</si>
  <si>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</si>
  <si>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</si>
  <si>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</si>
  <si>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</si>
  <si>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</si>
  <si>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</si>
  <si>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</si>
  <si>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</si>
  <si>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</si>
  <si>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</si>
  <si>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</si>
  <si>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</si>
  <si>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</si>
  <si>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</si>
  <si>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</si>
  <si>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</si>
  <si>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</si>
  <si>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</si>
  <si>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</si>
  <si>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</si>
  <si>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</si>
  <si>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</si>
  <si>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</si>
  <si>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</si>
  <si>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</si>
  <si>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</si>
  <si>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</si>
  <si>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</si>
  <si>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</si>
  <si>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</si>
  <si>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</si>
  <si>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</si>
  <si>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</si>
  <si>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</si>
  <si>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</si>
  <si>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</si>
  <si>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</si>
  <si>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</si>
  <si>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</si>
  <si>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</si>
  <si>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</si>
  <si>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</si>
  <si>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</si>
  <si>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</si>
  <si>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</si>
  <si>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</si>
  <si>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</si>
  <si>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</si>
  <si>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</si>
  <si>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</si>
  <si>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</si>
  <si>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</si>
  <si>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</si>
  <si>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</si>
  <si>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</si>
  <si>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</si>
  <si>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</si>
  <si>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</si>
  <si>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</si>
  <si>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</si>
  <si>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</si>
  <si>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</si>
  <si>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</si>
  <si>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</si>
  <si>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</si>
  <si>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</si>
  <si>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</si>
  <si>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</si>
  <si>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</si>
  <si>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</si>
  <si>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</si>
  <si>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</si>
  <si>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</si>
  <si>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</si>
  <si>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</si>
  <si>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</si>
  <si>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</si>
  <si>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</si>
  <si>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</si>
  <si>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</si>
  <si>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</si>
  <si>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</si>
  <si>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</si>
  <si>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</si>
  <si>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</si>
  <si>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</si>
  <si>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</si>
  <si>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</si>
  <si>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</si>
  <si>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</si>
  <si>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</si>
  <si>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</si>
  <si>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</si>
  <si>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</si>
  <si>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</si>
  <si>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</si>
  <si>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</si>
  <si>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</si>
  <si>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</si>
  <si>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</si>
  <si>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</si>
  <si>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</si>
  <si>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</si>
  <si>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</si>
  <si>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</si>
  <si>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</si>
  <si>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</si>
  <si>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</si>
  <si>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</si>
  <si>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</si>
  <si>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</si>
  <si>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</si>
  <si>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</si>
  <si>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</si>
  <si>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</si>
  <si>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</si>
  <si>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</si>
  <si>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</si>
  <si>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</si>
  <si>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</si>
  <si>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</si>
  <si>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</si>
  <si>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</si>
  <si>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</si>
  <si>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</si>
  <si>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</si>
  <si>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</si>
  <si>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</si>
  <si>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</si>
  <si>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</si>
  <si>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</si>
  <si>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</si>
  <si>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</si>
  <si>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</si>
  <si>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</si>
  <si>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</si>
  <si>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</si>
  <si>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</si>
  <si>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</si>
  <si>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</si>
  <si>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</si>
  <si>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</si>
  <si>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</si>
  <si>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</si>
  <si>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</si>
  <si>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</si>
  <si>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</si>
  <si>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</si>
  <si>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</si>
  <si>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</si>
  <si>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</si>
  <si>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</si>
  <si>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</si>
  <si>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</si>
  <si>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</si>
  <si>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</si>
  <si>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</si>
  <si>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</si>
  <si>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</si>
  <si>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</si>
  <si>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</si>
  <si>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</si>
  <si>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</si>
  <si>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</si>
  <si>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</si>
  <si>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</si>
  <si>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</si>
  <si>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</si>
  <si>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</si>
  <si>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</si>
  <si>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</si>
  <si>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</si>
  <si>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</si>
  <si>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</si>
  <si>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</si>
  <si>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</si>
  <si>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</si>
  <si>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</si>
  <si>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</si>
  <si>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</si>
  <si>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</si>
  <si>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</si>
  <si>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</si>
  <si>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</si>
  <si>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</si>
  <si>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</si>
  <si>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</si>
  <si>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</si>
  <si>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</si>
  <si>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</si>
  <si>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</si>
  <si>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</si>
  <si>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</si>
  <si>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</si>
  <si>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</si>
  <si>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</si>
  <si>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</si>
  <si>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</si>
  <si>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</si>
  <si>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</si>
  <si>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</si>
  <si>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</si>
  <si>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</si>
  <si>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</si>
  <si>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</si>
  <si>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</si>
  <si>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</si>
  <si>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</si>
  <si>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</si>
  <si>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</si>
  <si>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</si>
  <si>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</si>
  <si>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</si>
  <si>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</si>
  <si>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</si>
  <si>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</si>
  <si>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</si>
  <si>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</si>
  <si>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</si>
  <si>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</si>
  <si>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</si>
  <si>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</si>
  <si>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</si>
  <si>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</si>
  <si>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</si>
  <si>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</si>
  <si>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</si>
  <si>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</si>
  <si>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</si>
  <si>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</si>
  <si>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</si>
  <si>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</si>
  <si>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</si>
  <si>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</si>
  <si>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</si>
  <si>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</si>
  <si>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</si>
  <si>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</si>
  <si>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</si>
  <si>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</si>
  <si>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</si>
  <si>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</si>
  <si>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</si>
  <si>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</si>
  <si>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</si>
  <si>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</si>
  <si>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</si>
  <si>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</si>
  <si>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</si>
  <si>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</si>
  <si>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</si>
  <si>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</si>
  <si>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</si>
  <si>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</si>
  <si>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</si>
  <si>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</si>
  <si>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</si>
  <si>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</si>
  <si>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</si>
  <si>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</si>
  <si>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</si>
  <si>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</si>
  <si>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</si>
  <si>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</si>
  <si>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</si>
  <si>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</si>
  <si>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</si>
  <si>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</si>
  <si>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</si>
  <si>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</si>
  <si>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</si>
  <si>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</si>
  <si>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</si>
  <si>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</si>
  <si>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</si>
  <si>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</si>
  <si>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</si>
  <si>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</si>
  <si>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</si>
  <si>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</si>
  <si>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</si>
  <si>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</si>
  <si>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</si>
  <si>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</si>
  <si>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</si>
  <si>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</si>
  <si>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</si>
  <si>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</si>
  <si>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</si>
  <si>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</si>
  <si>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</si>
  <si>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</si>
  <si>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</si>
  <si>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</si>
  <si>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</si>
  <si>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</si>
  <si>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</si>
  <si>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</si>
  <si>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</si>
  <si>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</si>
  <si>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</si>
  <si>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</si>
  <si>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</si>
  <si>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</si>
  <si>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</si>
  <si>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</si>
  <si>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</si>
  <si>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</si>
  <si>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</si>
  <si>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</si>
  <si>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</si>
  <si>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</si>
  <si>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</si>
  <si>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</si>
  <si>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</si>
  <si>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</si>
  <si>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</si>
  <si>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</si>
  <si>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</si>
  <si>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</si>
  <si>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</si>
  <si>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</si>
  <si>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</si>
  <si>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</si>
  <si>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</si>
  <si>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</si>
  <si>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</si>
  <si>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</si>
  <si>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</si>
  <si>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</si>
  <si>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</si>
  <si>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</si>
  <si>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</si>
  <si>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</si>
  <si>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</si>
  <si>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</si>
  <si>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</si>
  <si>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</si>
  <si>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</si>
  <si>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</si>
  <si>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</si>
  <si>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</si>
  <si>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</si>
  <si>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</si>
  <si>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</si>
  <si>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</si>
  <si>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</si>
  <si>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</si>
  <si>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</si>
  <si>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</si>
  <si>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</si>
  <si>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</si>
  <si>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</si>
  <si>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</si>
  <si>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</si>
  <si>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</si>
  <si>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</si>
  <si>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</si>
  <si>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</si>
  <si>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</si>
  <si>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</si>
  <si>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</si>
  <si>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</si>
  <si>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</si>
  <si>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</si>
  <si>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</si>
  <si>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</si>
  <si>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</si>
  <si>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</si>
  <si>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</si>
  <si>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</si>
  <si>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</si>
  <si>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</si>
  <si>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</si>
  <si>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</si>
  <si>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</si>
  <si>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</si>
  <si>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</si>
  <si>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</si>
  <si>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</si>
  <si>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</si>
  <si>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</si>
  <si>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</si>
  <si>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</si>
  <si>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</si>
  <si>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</si>
  <si>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</si>
  <si>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</si>
  <si>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</si>
  <si>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</si>
  <si>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</si>
  <si>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</si>
  <si>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</si>
  <si>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</si>
  <si>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</si>
  <si>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</si>
  <si>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</si>
  <si>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</si>
  <si>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</si>
  <si>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</si>
  <si>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</si>
  <si>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</si>
  <si>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</si>
  <si>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</si>
  <si>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</si>
  <si>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</si>
  <si>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</si>
  <si>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</si>
  <si>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</si>
  <si>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</si>
  <si>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</si>
  <si>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</si>
  <si>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</si>
  <si>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</si>
  <si>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</si>
  <si>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</si>
  <si>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</si>
  <si>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</si>
  <si>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</si>
  <si>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</si>
  <si>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</si>
  <si>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</si>
  <si>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</si>
  <si>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</si>
  <si>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</si>
  <si>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</si>
  <si>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</si>
  <si>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</si>
  <si>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</si>
  <si>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</si>
  <si>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</si>
  <si>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</si>
  <si>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</si>
  <si>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</si>
  <si>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</si>
  <si>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</si>
  <si>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</si>
  <si>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</si>
  <si>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</si>
  <si>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</si>
  <si>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</si>
  <si>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</si>
  <si>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</si>
  <si>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</si>
  <si>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</si>
  <si>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</si>
  <si>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</si>
  <si>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</si>
  <si>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</si>
  <si>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</si>
  <si>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</si>
  <si>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</si>
  <si>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</si>
  <si>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</si>
  <si>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</si>
  <si>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</si>
  <si>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</si>
  <si>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</si>
  <si>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</si>
  <si>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</si>
  <si>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</si>
  <si>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</si>
  <si>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</si>
  <si>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</si>
  <si>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</si>
  <si>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</si>
  <si>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</si>
  <si>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</si>
  <si>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</si>
  <si>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</si>
  <si>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</si>
  <si>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</si>
  <si>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</si>
  <si>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</si>
  <si>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</si>
  <si>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</si>
  <si>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</si>
  <si>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</si>
  <si>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</si>
  <si>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</si>
  <si>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</si>
  <si>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</si>
  <si>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</si>
  <si>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</si>
  <si>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</si>
  <si>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</si>
  <si>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</si>
  <si>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</si>
  <si>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</si>
  <si>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</si>
  <si>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</si>
  <si>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</si>
  <si>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</si>
  <si>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</si>
  <si>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</si>
  <si>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</si>
  <si>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</si>
  <si>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</si>
  <si>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</si>
  <si>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</si>
  <si>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</si>
  <si>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</si>
  <si>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</si>
  <si>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</si>
  <si>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</si>
  <si>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</si>
  <si>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</si>
  <si>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</si>
  <si>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</si>
  <si>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</si>
  <si>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</si>
  <si>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</si>
  <si>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</si>
  <si>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</si>
  <si>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</si>
  <si>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</si>
  <si>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</si>
  <si>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</si>
  <si>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</si>
  <si>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</si>
  <si>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</si>
  <si>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</si>
  <si>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</si>
  <si>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</si>
  <si>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</si>
  <si>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</si>
  <si>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</si>
  <si>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</si>
  <si>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</si>
  <si>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</si>
  <si>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</si>
  <si>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</si>
  <si>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</si>
  <si>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</si>
  <si>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</si>
  <si>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</si>
  <si>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</si>
  <si>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</si>
  <si>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</si>
  <si>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</si>
  <si>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</si>
  <si>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</si>
  <si>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</si>
  <si>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</si>
  <si>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</si>
  <si>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</si>
  <si>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</si>
  <si>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</si>
  <si>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</si>
  <si>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</si>
  <si>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</si>
  <si>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</si>
  <si>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</si>
  <si>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</si>
  <si>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</si>
  <si>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</si>
  <si>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</si>
  <si>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</si>
  <si>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</si>
  <si>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</si>
  <si>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</si>
  <si>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</si>
  <si>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</si>
  <si>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</si>
  <si>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</si>
  <si>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</si>
  <si>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</si>
  <si>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</si>
  <si>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</si>
  <si>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</si>
  <si>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</si>
  <si>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</si>
  <si>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</si>
  <si>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</si>
  <si>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</si>
  <si>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</si>
  <si>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</si>
  <si>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</si>
  <si>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</si>
  <si>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</si>
  <si>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</si>
  <si>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</si>
  <si>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</si>
  <si>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</si>
  <si>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</si>
  <si>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</si>
  <si>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</si>
  <si>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</si>
  <si>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</si>
  <si>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</si>
  <si>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</si>
  <si>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</si>
  <si>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</si>
  <si>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</si>
  <si>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</si>
  <si>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</si>
  <si>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</si>
  <si>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</si>
  <si>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</si>
  <si>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</si>
  <si>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</si>
  <si>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</si>
  <si>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</si>
  <si>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</si>
  <si>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</si>
  <si>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</si>
  <si>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</si>
  <si>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</si>
  <si>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</si>
  <si>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</si>
  <si>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</si>
  <si>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</si>
  <si>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</si>
  <si>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</si>
  <si>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</si>
  <si>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</si>
  <si>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</si>
  <si>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</si>
  <si>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</si>
  <si>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</si>
  <si>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</si>
  <si>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</si>
  <si>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</si>
  <si>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</si>
  <si>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</si>
  <si>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</si>
  <si>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</si>
  <si>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</si>
  <si>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</si>
  <si>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</si>
  <si>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</si>
  <si>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</si>
  <si>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</si>
  <si>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</si>
  <si>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</si>
  <si>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</si>
  <si>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</si>
  <si>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</si>
  <si>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</si>
  <si>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</si>
  <si>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</si>
  <si>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</si>
  <si>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</si>
  <si>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</si>
  <si>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</si>
  <si>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</si>
  <si>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</si>
  <si>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</si>
  <si>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</si>
  <si>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</si>
  <si>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</si>
  <si>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</si>
  <si>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</si>
  <si>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</si>
  <si>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</si>
  <si>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</si>
  <si>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</si>
  <si>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</si>
  <si>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</si>
  <si>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</si>
  <si>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</si>
  <si>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</si>
  <si>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</si>
  <si>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</si>
  <si>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</si>
  <si>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</si>
  <si>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</si>
  <si>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</si>
  <si>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</si>
  <si>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</si>
  <si>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</si>
  <si>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</si>
  <si>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</si>
  <si>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</si>
  <si>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</si>
  <si>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</si>
  <si>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</si>
  <si>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</si>
  <si>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</si>
  <si>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</si>
  <si>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</si>
  <si>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</si>
  <si>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</si>
  <si>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</si>
  <si>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</si>
  <si>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</si>
  <si>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</si>
  <si>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</si>
  <si>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</si>
  <si>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</si>
  <si>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</si>
  <si>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</si>
  <si>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</si>
  <si>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</si>
  <si>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</si>
  <si>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</si>
  <si>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</si>
  <si>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</si>
  <si>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</si>
  <si>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</si>
  <si>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</si>
  <si>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</si>
  <si>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</si>
  <si>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</si>
  <si>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</si>
  <si>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</si>
  <si>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</si>
  <si>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</si>
  <si>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</si>
  <si>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</si>
  <si>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</si>
  <si>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</si>
  <si>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</si>
  <si>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</si>
  <si>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</si>
  <si>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</si>
  <si>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</si>
  <si>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</si>
  <si>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</si>
  <si>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</si>
  <si>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</si>
  <si>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</si>
  <si>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</si>
  <si>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</si>
  <si>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</si>
  <si>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</si>
  <si>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</si>
  <si>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</si>
  <si>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</si>
  <si>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</si>
  <si>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</si>
  <si>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</si>
  <si>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</si>
  <si>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</si>
  <si>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</si>
  <si>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</si>
  <si>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</si>
  <si>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</si>
  <si>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</si>
  <si>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</si>
  <si>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</si>
  <si>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</si>
  <si>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</si>
  <si>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</si>
  <si>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</si>
  <si>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</si>
  <si>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</si>
  <si>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</si>
  <si>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</si>
  <si>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</si>
  <si>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</si>
  <si>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</si>
  <si>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</si>
  <si>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</si>
  <si>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</si>
  <si>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</si>
  <si>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</si>
  <si>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</si>
  <si>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</si>
  <si>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</si>
  <si>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</si>
  <si>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</si>
  <si>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</si>
  <si>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</si>
  <si>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</si>
  <si>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</si>
  <si>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</si>
  <si>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</si>
  <si>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</si>
  <si>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</si>
  <si>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</si>
  <si>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</si>
  <si>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</si>
  <si>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</si>
  <si>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</si>
  <si>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</si>
  <si>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</si>
  <si>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</si>
  <si>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</si>
  <si>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</si>
  <si>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</si>
  <si>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</si>
  <si>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</si>
  <si>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</si>
  <si>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</si>
  <si>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</si>
  <si>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</si>
  <si>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</si>
  <si>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</si>
  <si>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</si>
  <si>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</si>
  <si>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</si>
  <si>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</si>
  <si>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</si>
  <si>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</si>
  <si>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</si>
  <si>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</si>
  <si>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</si>
  <si>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</si>
  <si>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</si>
  <si>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</si>
  <si>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</si>
  <si>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</si>
  <si>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</si>
  <si>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</si>
  <si>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</si>
  <si>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</si>
  <si>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</si>
  <si>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</si>
  <si>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</si>
  <si>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</si>
  <si>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</si>
  <si>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</si>
  <si>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</si>
  <si>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</si>
  <si>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</si>
  <si>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</si>
  <si>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</si>
  <si>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</si>
  <si>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</si>
  <si>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</si>
  <si>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</si>
  <si>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</si>
  <si>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</si>
  <si>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</si>
  <si>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</si>
  <si>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</si>
  <si>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</si>
  <si>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</si>
  <si>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</si>
  <si>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</si>
  <si>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</si>
  <si>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</si>
  <si>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</si>
  <si>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</si>
  <si>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</si>
  <si>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</si>
  <si>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</si>
  <si>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</si>
  <si>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</si>
  <si>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</si>
  <si>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</si>
  <si>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</si>
  <si>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</si>
  <si>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</si>
  <si>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</si>
  <si>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</si>
  <si>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</si>
  <si>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</si>
  <si>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</si>
  <si>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</si>
  <si>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</si>
  <si>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</si>
  <si>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</si>
  <si>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</si>
  <si>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</si>
  <si>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</si>
  <si>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</si>
  <si>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</si>
  <si>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</si>
  <si>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</si>
  <si>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</si>
  <si>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</si>
  <si>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</si>
  <si>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</si>
  <si>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</si>
  <si>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</si>
  <si>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</si>
  <si>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</si>
  <si>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</si>
  <si>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</si>
  <si>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</si>
  <si>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</si>
  <si>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</si>
  <si>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</si>
  <si>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</si>
  <si>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</si>
  <si>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</si>
  <si>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</si>
  <si>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</si>
  <si>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</si>
  <si>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</si>
  <si>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</si>
  <si>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</si>
  <si>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</si>
  <si>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</si>
  <si>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</si>
  <si>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</si>
  <si>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</si>
  <si>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</si>
  <si>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</si>
  <si>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</si>
  <si>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</si>
  <si>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</si>
  <si>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</si>
  <si>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</si>
  <si>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</si>
  <si>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</si>
  <si>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</si>
  <si>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</si>
  <si>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</si>
  <si>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</si>
  <si>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</si>
  <si>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</si>
  <si>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</si>
  <si>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</si>
  <si>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</si>
  <si>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</si>
  <si>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</si>
  <si>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</si>
  <si>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</si>
  <si>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</si>
  <si>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</si>
  <si>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</si>
  <si>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</si>
  <si>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</si>
  <si>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</si>
  <si>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</si>
  <si>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</si>
  <si>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</si>
  <si>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</si>
  <si>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</si>
  <si>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</si>
  <si>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</si>
  <si>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</si>
  <si>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</si>
  <si>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</si>
  <si>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</si>
  <si>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</si>
  <si>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</si>
  <si>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</si>
  <si>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</si>
  <si>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</si>
  <si>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</si>
  <si>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</si>
  <si>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</si>
  <si>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</si>
  <si>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</si>
  <si>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</si>
  <si>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</si>
  <si>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</si>
  <si>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</si>
  <si>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</si>
  <si>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</si>
  <si>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</si>
  <si>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</si>
  <si>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</si>
  <si>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</si>
  <si>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</si>
  <si>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</si>
  <si>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</si>
  <si>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</si>
  <si>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</si>
  <si>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</si>
  <si>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</si>
  <si>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</si>
  <si>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</si>
  <si>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</si>
  <si>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</si>
  <si>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</si>
  <si>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</si>
  <si>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</si>
  <si>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</si>
  <si>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</si>
  <si>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</si>
  <si>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</si>
  <si>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</si>
  <si>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</si>
  <si>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</si>
  <si>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</si>
  <si>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</si>
  <si>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</si>
  <si>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</si>
  <si>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</si>
  <si>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</si>
  <si>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</si>
  <si>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</si>
  <si>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</si>
  <si>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</si>
  <si>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</si>
  <si>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</si>
  <si>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</si>
  <si>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</si>
  <si>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</si>
  <si>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</si>
  <si>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</si>
  <si>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</si>
  <si>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</si>
  <si>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</si>
  <si>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</si>
  <si>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</si>
  <si>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</si>
  <si>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</si>
  <si>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</si>
  <si>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</si>
  <si>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</si>
  <si>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</si>
  <si>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</si>
  <si>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</si>
  <si>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</si>
  <si>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</si>
  <si>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</si>
  <si>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</si>
  <si>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</si>
  <si>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</si>
  <si>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</si>
  <si>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</si>
  <si>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</si>
  <si>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</si>
  <si>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</si>
  <si>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</si>
  <si>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</si>
  <si>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</si>
  <si>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</si>
  <si>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</si>
  <si>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</si>
  <si>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</si>
  <si>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</si>
  <si>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</si>
  <si>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</si>
  <si>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</si>
  <si>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</si>
  <si>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</si>
  <si>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</si>
  <si>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</si>
  <si>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</si>
  <si>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</si>
  <si>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</si>
  <si>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</si>
  <si>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</si>
  <si>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</si>
  <si>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</si>
  <si>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</si>
  <si>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</si>
  <si>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</si>
  <si>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</si>
  <si>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</si>
  <si>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</si>
  <si>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</si>
  <si>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</si>
  <si>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</si>
  <si>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</si>
  <si>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</si>
  <si>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</si>
  <si>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</si>
  <si>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</si>
  <si>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</si>
  <si>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</si>
  <si>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</si>
  <si>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</si>
  <si>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</si>
  <si>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</si>
  <si>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</si>
  <si>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</si>
  <si>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</si>
  <si>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</si>
  <si>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</si>
  <si>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</si>
  <si>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</si>
  <si>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</si>
  <si>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</si>
  <si>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</si>
  <si>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</si>
  <si>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</si>
  <si>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</si>
  <si>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</si>
  <si>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</si>
  <si>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</si>
  <si>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</si>
  <si>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</si>
  <si>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</si>
  <si>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</si>
  <si>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</si>
  <si>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</si>
  <si>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</si>
  <si>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</si>
  <si>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</si>
  <si>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</si>
  <si>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</si>
  <si>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</si>
  <si>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</si>
  <si>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</si>
  <si>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</si>
  <si>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</si>
  <si>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</si>
  <si>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</si>
  <si>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</si>
  <si>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</si>
  <si>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</si>
  <si>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</si>
  <si>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</si>
  <si>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</si>
  <si>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</si>
  <si>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</si>
  <si>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</si>
  <si>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</si>
  <si>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</si>
  <si>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</si>
  <si>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</si>
  <si>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</si>
  <si>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</si>
  <si>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</si>
  <si>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</si>
  <si>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</si>
  <si>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</si>
  <si>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</si>
  <si>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</si>
  <si>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</si>
  <si>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</si>
  <si>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</si>
  <si>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</si>
  <si>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</si>
  <si>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</si>
  <si>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</si>
  <si>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</si>
  <si>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</si>
  <si>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</si>
  <si>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</si>
  <si>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</si>
  <si>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</si>
  <si>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</si>
  <si>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</si>
  <si>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</si>
  <si>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</si>
  <si>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</si>
  <si>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</si>
  <si>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</si>
  <si>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</si>
  <si>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</si>
  <si>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</si>
  <si>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</si>
  <si>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</si>
  <si>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</si>
  <si>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</si>
  <si>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</si>
  <si>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</si>
  <si>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</si>
  <si>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</si>
  <si>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</si>
  <si>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</si>
  <si>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</si>
  <si>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</si>
  <si>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</si>
  <si>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</si>
  <si>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</si>
  <si>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</si>
  <si>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</si>
  <si>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</si>
  <si>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</si>
  <si>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</si>
  <si>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</si>
  <si>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</si>
  <si>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</si>
  <si>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</si>
  <si>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</si>
  <si>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</si>
  <si>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</si>
  <si>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</si>
  <si>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</si>
  <si>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</si>
  <si>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</si>
  <si>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</si>
  <si>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</si>
  <si>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</si>
  <si>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</si>
  <si>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</si>
  <si>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</si>
  <si>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</si>
  <si>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</si>
  <si>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</si>
  <si>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</si>
  <si>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</si>
  <si>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</si>
  <si>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</si>
  <si>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</si>
  <si>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</si>
  <si>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</si>
  <si>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</si>
  <si>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</si>
  <si>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</si>
  <si>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</si>
  <si>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</si>
  <si>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</si>
  <si>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</si>
  <si>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</si>
  <si>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</si>
  <si>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</si>
  <si>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</si>
  <si>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</si>
  <si>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</si>
  <si>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</si>
  <si>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</si>
  <si>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</si>
  <si>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</si>
  <si>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</si>
  <si>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</si>
  <si>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</si>
  <si>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</si>
  <si>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</si>
  <si>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</si>
  <si>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</si>
  <si>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</si>
  <si>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</si>
  <si>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</si>
  <si>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</si>
  <si>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</si>
  <si>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</si>
  <si>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</si>
  <si>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</si>
  <si>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</si>
  <si>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</si>
  <si>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</si>
  <si>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</si>
  <si>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</si>
  <si>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</si>
  <si>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</si>
  <si>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</si>
  <si>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</si>
  <si>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</si>
  <si>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</si>
  <si>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</si>
  <si>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</si>
  <si>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</si>
  <si>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</si>
  <si>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</si>
  <si>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</si>
  <si>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</si>
  <si>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</si>
  <si>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</si>
  <si>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</si>
  <si>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</si>
  <si>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</si>
  <si>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</si>
  <si>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</si>
  <si>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</si>
  <si>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</si>
  <si>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</si>
  <si>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</si>
  <si>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</si>
  <si>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</si>
  <si>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</si>
  <si>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</si>
  <si>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</si>
  <si>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</si>
  <si>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</si>
  <si>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</si>
  <si>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</si>
  <si>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</si>
  <si>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</si>
  <si>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</si>
  <si>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</si>
  <si>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</si>
  <si>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</si>
  <si>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</si>
  <si>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</si>
  <si>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</si>
  <si>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</si>
  <si>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</si>
  <si>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</si>
  <si>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</si>
  <si>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</si>
  <si>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</si>
  <si>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</si>
  <si>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</si>
  <si>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</si>
  <si>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</si>
  <si>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</si>
  <si>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</si>
  <si>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</si>
  <si>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</si>
  <si>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</si>
  <si>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</si>
  <si>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</si>
  <si>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</si>
  <si>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</si>
  <si>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</si>
  <si>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</si>
  <si>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</si>
  <si>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</si>
  <si>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</si>
  <si>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</si>
  <si>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</si>
  <si>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</si>
  <si>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</si>
  <si>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</si>
  <si>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</si>
  <si>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</si>
  <si>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</si>
  <si>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</si>
  <si>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</si>
  <si>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</si>
  <si>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</si>
  <si>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</si>
  <si>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</si>
  <si>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</si>
  <si>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</si>
  <si>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</si>
  <si>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</si>
  <si>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</si>
  <si>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</si>
  <si>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</si>
  <si>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</si>
  <si>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</si>
  <si>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</si>
  <si>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</si>
  <si>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</si>
  <si>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</si>
  <si>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</si>
  <si>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</si>
  <si>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</si>
  <si>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</si>
  <si>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</si>
  <si>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</si>
  <si>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</si>
  <si>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</si>
  <si>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</si>
  <si>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</si>
  <si>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</si>
  <si>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</si>
  <si>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</si>
  <si>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</si>
  <si>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</si>
  <si>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</si>
  <si>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</si>
  <si>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</si>
  <si>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</si>
  <si>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</si>
  <si>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</si>
  <si>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</si>
  <si>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</si>
  <si>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</si>
  <si>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</si>
  <si>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</si>
  <si>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</si>
  <si>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</si>
  <si>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</si>
  <si>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</si>
  <si>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</si>
  <si>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</si>
  <si>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</si>
  <si>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</si>
  <si>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</si>
  <si>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</si>
  <si>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</si>
  <si>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</si>
  <si>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</si>
  <si>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</si>
  <si>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</si>
  <si>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</si>
  <si>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</si>
  <si>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</si>
  <si>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</si>
  <si>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</si>
  <si>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</si>
  <si>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</si>
  <si>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</si>
  <si>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</si>
  <si>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</si>
  <si>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</si>
  <si>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</si>
  <si>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</si>
  <si>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</si>
  <si>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</si>
  <si>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</si>
  <si>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</si>
  <si>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</si>
  <si>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</si>
  <si>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</si>
  <si>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</si>
  <si>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</si>
  <si>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</si>
  <si>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</si>
  <si>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</si>
  <si>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</si>
  <si>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</si>
  <si>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</si>
  <si>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</si>
  <si>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</si>
  <si>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</si>
  <si>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</si>
  <si>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</si>
  <si>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</si>
  <si>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</si>
  <si>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</si>
  <si>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</si>
  <si>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</si>
  <si>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</si>
  <si>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</si>
  <si>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</si>
  <si>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</si>
  <si>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</si>
  <si>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</si>
  <si>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</si>
  <si>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</si>
  <si>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</si>
  <si>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</si>
  <si>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</si>
  <si>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</si>
  <si>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</si>
  <si>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</si>
  <si>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</si>
  <si>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</si>
  <si>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</si>
  <si>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</si>
  <si>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</si>
  <si>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</si>
  <si>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</si>
  <si>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</si>
  <si>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</si>
  <si>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</si>
  <si>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</si>
  <si>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</si>
  <si>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</si>
  <si>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</si>
  <si>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</si>
  <si>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</si>
  <si>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</si>
  <si>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</si>
  <si>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</si>
  <si>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</si>
  <si>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</si>
  <si>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</si>
  <si>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</si>
  <si>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</si>
  <si>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</si>
  <si>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</si>
  <si>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</si>
  <si>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</si>
  <si>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</si>
  <si>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</si>
  <si>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</si>
  <si>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</si>
  <si>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</si>
  <si>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</si>
  <si>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</si>
  <si>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</si>
  <si>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</si>
  <si>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</si>
  <si>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</si>
  <si>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</si>
  <si>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</si>
  <si>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</si>
  <si>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</si>
  <si>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</si>
  <si>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</si>
  <si>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</si>
  <si>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</si>
  <si>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</si>
  <si>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</si>
  <si>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</si>
  <si>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</si>
  <si>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</si>
  <si>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</si>
  <si>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</si>
  <si>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</si>
  <si>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</si>
  <si>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</si>
  <si>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</si>
  <si>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</si>
  <si>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</si>
  <si>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</si>
  <si>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</si>
  <si>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</si>
  <si>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</si>
  <si>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</si>
  <si>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</si>
  <si>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</si>
  <si>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</si>
  <si>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</si>
  <si>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</si>
  <si>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</si>
  <si>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</si>
  <si>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</si>
  <si>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</si>
  <si>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</si>
  <si>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</si>
  <si>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</si>
  <si>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</si>
  <si>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</si>
  <si>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</si>
  <si>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</si>
  <si>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</si>
  <si>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</si>
  <si>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</si>
  <si>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</si>
  <si>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</si>
  <si>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</si>
  <si>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</si>
  <si>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</si>
  <si>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</si>
  <si>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</si>
  <si>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</si>
  <si>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</si>
  <si>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</si>
  <si>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</si>
  <si>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</si>
  <si>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</si>
  <si>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</si>
  <si>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</si>
  <si>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</si>
  <si>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</si>
  <si>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</si>
  <si>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</si>
  <si>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</si>
  <si>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</si>
  <si>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</si>
  <si>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</si>
  <si>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</si>
  <si>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</si>
  <si>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</si>
  <si>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</si>
  <si>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</si>
  <si>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</si>
  <si>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</si>
  <si>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</si>
  <si>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</si>
  <si>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</si>
  <si>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</si>
  <si>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</si>
  <si>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</si>
  <si>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</si>
  <si>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</si>
  <si>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</si>
  <si>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</si>
  <si>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</si>
  <si>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</si>
  <si>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</si>
  <si>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</si>
  <si>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</si>
  <si>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</si>
  <si>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</si>
  <si>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</si>
  <si>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</si>
  <si>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</si>
  <si>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</si>
  <si>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</si>
  <si>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</si>
  <si>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</si>
  <si>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</si>
  <si>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</si>
  <si>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</si>
  <si>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</si>
  <si>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</si>
  <si>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</si>
  <si>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</si>
  <si>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</si>
  <si>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</si>
  <si>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</si>
  <si>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</si>
  <si>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</si>
  <si>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</si>
  <si>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</si>
  <si>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</si>
  <si>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</si>
  <si>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</si>
  <si>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</si>
  <si>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</si>
  <si>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</si>
  <si>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</si>
  <si>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</si>
  <si>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</si>
  <si>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</si>
  <si>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</si>
  <si>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</si>
  <si>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</si>
  <si>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</si>
  <si>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</si>
  <si>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</si>
  <si>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</si>
  <si>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</si>
  <si>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</si>
  <si>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</si>
  <si>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</si>
  <si>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</si>
  <si>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</si>
  <si>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</si>
  <si>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</si>
  <si>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</si>
  <si>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</si>
  <si>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</si>
  <si>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</si>
  <si>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</si>
  <si>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</si>
  <si>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</si>
  <si>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</si>
  <si>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</si>
  <si>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</si>
  <si>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</si>
  <si>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</si>
  <si>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</si>
  <si>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</si>
  <si>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</si>
  <si>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</si>
  <si>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</si>
  <si>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</si>
  <si>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</si>
  <si>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</si>
  <si>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</si>
  <si>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</si>
  <si>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</si>
  <si>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</si>
  <si>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</si>
  <si>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</si>
  <si>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</si>
  <si>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</si>
  <si>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</si>
  <si>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</si>
  <si>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</si>
  <si>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</si>
  <si>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</si>
  <si>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</si>
  <si>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</si>
  <si>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</si>
  <si>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</si>
  <si>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</si>
  <si>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</si>
  <si>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</si>
  <si>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</si>
  <si>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</si>
  <si>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</si>
  <si>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</si>
  <si>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</si>
  <si>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</si>
  <si>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</si>
  <si>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</si>
  <si>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</si>
  <si>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</si>
  <si>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</si>
  <si>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</si>
  <si>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</si>
  <si>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</si>
  <si>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</si>
  <si>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</si>
  <si>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</si>
  <si>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</si>
  <si>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</si>
  <si>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</si>
  <si>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</si>
  <si>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</si>
  <si>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</si>
  <si>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</si>
  <si>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</si>
  <si>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</si>
  <si>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</si>
  <si>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</si>
  <si>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</si>
  <si>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</si>
  <si>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</si>
  <si>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</si>
  <si>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</si>
  <si>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</si>
  <si>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</si>
  <si>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</si>
  <si>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</si>
  <si>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</si>
  <si>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</si>
  <si>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</si>
  <si>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</si>
  <si>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</si>
  <si>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</si>
  <si>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</si>
  <si>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</si>
  <si>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</si>
  <si>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</si>
  <si>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</si>
  <si>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</si>
  <si>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</si>
  <si>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</si>
  <si>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</si>
  <si>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</si>
  <si>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</si>
  <si>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</si>
  <si>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</si>
  <si>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</si>
  <si>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</si>
  <si>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</si>
  <si>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</si>
  <si>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</si>
  <si>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</si>
  <si>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</si>
  <si>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</si>
  <si>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</si>
  <si>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</si>
  <si>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</si>
  <si>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</si>
  <si>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</si>
  <si>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</si>
  <si>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</si>
  <si>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</si>
  <si>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</si>
  <si>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</si>
  <si>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</si>
  <si>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</si>
  <si>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</si>
  <si>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</si>
  <si>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</si>
  <si>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</si>
  <si>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</si>
  <si>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</si>
  <si>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</si>
  <si>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</si>
  <si>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</si>
  <si>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</si>
  <si>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</si>
  <si>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</si>
  <si>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</si>
  <si>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</si>
  <si>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</si>
  <si>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</si>
  <si>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</si>
  <si>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</si>
  <si>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</si>
  <si>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</si>
  <si>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</si>
  <si>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</si>
  <si>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</si>
  <si>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</si>
  <si>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</si>
  <si>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</si>
  <si>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</si>
  <si>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</si>
  <si>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</si>
  <si>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</si>
  <si>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</si>
  <si>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</si>
  <si>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</si>
  <si>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</si>
  <si>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</si>
  <si>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</si>
  <si>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</si>
  <si>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</si>
  <si>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</si>
  <si>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</si>
  <si>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</si>
  <si>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</si>
  <si>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</si>
  <si>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</si>
  <si>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</si>
  <si>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</si>
  <si>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</si>
  <si>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</si>
  <si>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</si>
  <si>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</si>
  <si>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</si>
  <si>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</si>
  <si>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</si>
  <si>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</si>
  <si>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</si>
  <si>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</si>
  <si>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</si>
  <si>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</si>
  <si>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</si>
  <si>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</si>
  <si>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</si>
  <si>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</si>
  <si>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</si>
  <si>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</si>
  <si>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</si>
  <si>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</si>
  <si>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</si>
  <si>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</si>
  <si>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</si>
  <si>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</si>
  <si>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</si>
  <si>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</si>
  <si>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</si>
  <si>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</si>
  <si>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</si>
  <si>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</si>
  <si>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</si>
  <si>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</si>
  <si>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</si>
  <si>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</si>
  <si>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</si>
  <si>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</si>
  <si>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</si>
  <si>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</si>
  <si>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</si>
  <si>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</si>
  <si>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</si>
  <si>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</si>
  <si>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</si>
  <si>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</si>
  <si>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</si>
  <si>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</si>
  <si>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</si>
  <si>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</si>
  <si>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</si>
  <si>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</si>
  <si>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</si>
  <si>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</si>
  <si>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</si>
  <si>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</si>
  <si>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</si>
  <si>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</si>
  <si>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</si>
  <si>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</si>
  <si>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</si>
  <si>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</si>
  <si>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</si>
  <si>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</si>
  <si>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</si>
  <si>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</si>
  <si>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</si>
  <si>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</si>
  <si>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</si>
  <si>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</si>
  <si>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</si>
  <si>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</si>
  <si>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</si>
  <si>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</si>
  <si>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</si>
  <si>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</si>
  <si>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</si>
  <si>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</si>
  <si>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</si>
  <si>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</si>
  <si>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</si>
  <si>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</si>
  <si>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</si>
  <si>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</si>
  <si>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</si>
  <si>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</si>
  <si>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</si>
  <si>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</si>
  <si>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</si>
  <si>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</si>
  <si>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</si>
  <si>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</si>
  <si>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</si>
  <si>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</si>
  <si>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</si>
  <si>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</si>
  <si>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</si>
  <si>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</si>
  <si>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</si>
  <si>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</si>
  <si>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</si>
  <si>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</si>
  <si>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</si>
  <si>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</si>
  <si>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</si>
  <si>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</si>
  <si>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</si>
  <si>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</si>
  <si>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</si>
  <si>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</si>
  <si>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</si>
  <si>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</si>
  <si>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</si>
  <si>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</si>
  <si>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</si>
  <si>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</si>
  <si>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</si>
  <si>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</si>
  <si>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</si>
  <si>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</si>
  <si>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</si>
  <si>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</si>
  <si>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</si>
  <si>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</si>
  <si>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</si>
  <si>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</si>
  <si>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</si>
  <si>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</si>
  <si>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</si>
  <si>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</si>
  <si>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</si>
  <si>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</si>
  <si>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</si>
  <si>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</si>
  <si>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</si>
  <si>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</si>
  <si>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</si>
  <si>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</si>
  <si>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</si>
  <si>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</si>
  <si>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</si>
  <si>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</si>
  <si>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</si>
  <si>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</si>
  <si>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</si>
  <si>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</si>
  <si>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</si>
  <si>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</si>
  <si>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</si>
  <si>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</si>
  <si>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</si>
  <si>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</si>
  <si>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</si>
  <si>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</si>
  <si>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</si>
  <si>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</si>
  <si>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</si>
  <si>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</si>
  <si>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</si>
  <si>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</si>
  <si>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</si>
  <si>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</si>
  <si>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</si>
  <si>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</si>
  <si>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</si>
  <si>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</si>
  <si>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</si>
  <si>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</si>
  <si>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</si>
  <si>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</si>
  <si>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</si>
  <si>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</si>
  <si>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</si>
  <si>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</si>
  <si>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</si>
  <si>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</si>
  <si>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</si>
  <si>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</si>
  <si>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</si>
  <si>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</si>
  <si>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</si>
  <si>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</si>
  <si>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</si>
  <si>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</si>
  <si>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</si>
  <si>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</si>
  <si>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</si>
  <si>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</si>
  <si>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</si>
  <si>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</si>
  <si>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</si>
  <si>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</si>
  <si>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</si>
  <si>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</si>
  <si>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</si>
  <si>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</si>
  <si>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</si>
  <si>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</si>
  <si>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</si>
  <si>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</si>
  <si>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</si>
  <si>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</si>
  <si>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</si>
  <si>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</si>
  <si>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</si>
  <si>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</si>
  <si>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</si>
  <si>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</si>
  <si>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</si>
  <si>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</si>
  <si>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</si>
  <si>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</si>
  <si>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</si>
  <si>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</si>
  <si>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</si>
  <si>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</si>
  <si>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</si>
  <si>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</si>
  <si>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</si>
  <si>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</si>
  <si>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</si>
  <si>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</si>
  <si>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</si>
  <si>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</si>
  <si>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</si>
  <si>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</si>
  <si>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</si>
  <si>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</si>
  <si>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</si>
  <si>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</si>
  <si>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</si>
  <si>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</si>
  <si>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</si>
  <si>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</si>
  <si>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</si>
  <si>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</si>
  <si>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</si>
  <si>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</si>
  <si>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</si>
  <si>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</si>
  <si>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</si>
  <si>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</si>
  <si>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</si>
  <si>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</si>
  <si>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</si>
  <si>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</si>
  <si>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</si>
  <si>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</si>
  <si>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</si>
  <si>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</si>
  <si>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</si>
  <si>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</si>
  <si>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</si>
  <si>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</si>
  <si>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</si>
  <si>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</si>
  <si>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</si>
  <si>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</si>
  <si>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</si>
  <si>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</si>
  <si>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</si>
  <si>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</si>
  <si>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</si>
  <si>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</si>
  <si>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</si>
  <si>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</si>
  <si>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</si>
  <si>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</si>
  <si>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</si>
  <si>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</si>
  <si>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</si>
  <si>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</si>
  <si>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</si>
  <si>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</si>
  <si>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</si>
  <si>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</si>
  <si>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</si>
  <si>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</si>
  <si>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</si>
  <si>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</si>
  <si>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</si>
  <si>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</si>
  <si>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</si>
  <si>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</si>
  <si>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</si>
  <si>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</si>
  <si>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</si>
  <si>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</si>
  <si>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</si>
  <si>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</si>
  <si>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</si>
  <si>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</si>
  <si>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</si>
  <si>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</si>
  <si>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</si>
  <si>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</si>
  <si>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</si>
  <si>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</si>
  <si>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</si>
  <si>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</si>
  <si>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</si>
  <si>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</si>
  <si>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</si>
  <si>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</si>
  <si>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</si>
  <si>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</si>
  <si>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</si>
  <si>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</si>
  <si>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</si>
  <si>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</si>
  <si>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</si>
  <si>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</si>
  <si>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</si>
  <si>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</si>
  <si>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</si>
  <si>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</si>
  <si>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</si>
  <si>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</si>
  <si>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</si>
  <si>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</si>
  <si>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</si>
  <si>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</si>
  <si>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</si>
  <si>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</si>
  <si>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</si>
  <si>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</si>
  <si>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</si>
  <si>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</si>
  <si>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</si>
  <si>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</si>
  <si>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</si>
  <si>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</si>
  <si>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</si>
  <si>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</si>
  <si>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</si>
  <si>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</si>
  <si>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</si>
  <si>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</si>
  <si>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</si>
  <si>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</si>
  <si>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</si>
  <si>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</si>
  <si>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</si>
  <si>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</si>
  <si>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</si>
  <si>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</si>
  <si>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</si>
  <si>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</si>
  <si>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</si>
  <si>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</si>
  <si>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</si>
  <si>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</si>
  <si>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</si>
  <si>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</si>
  <si>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</si>
  <si>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</si>
  <si>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</si>
  <si>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</si>
  <si>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</si>
  <si>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</si>
  <si>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</si>
  <si>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</si>
  <si>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</si>
  <si>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</si>
  <si>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</si>
  <si>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</si>
  <si>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</si>
  <si>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</si>
  <si>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</si>
  <si>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</si>
  <si>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</si>
  <si>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</si>
  <si>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</si>
  <si>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</si>
  <si>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</si>
  <si>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</si>
  <si>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</si>
  <si>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</si>
  <si>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</si>
  <si>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</si>
  <si>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</si>
  <si>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</si>
  <si>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</si>
  <si>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</si>
  <si>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</si>
  <si>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</si>
  <si>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</si>
  <si>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</si>
  <si>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</si>
  <si>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</si>
  <si>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</si>
  <si>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</si>
  <si>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</si>
  <si>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</si>
  <si>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</si>
  <si>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</si>
  <si>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</si>
  <si>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</si>
  <si>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</si>
  <si>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</si>
  <si>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</si>
  <si>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</si>
  <si>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</si>
  <si>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</si>
  <si>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</si>
  <si>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</si>
  <si>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</si>
  <si>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</si>
  <si>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</si>
  <si>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</si>
  <si>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</si>
  <si>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</si>
  <si>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</si>
  <si>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</si>
  <si>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</si>
  <si>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</si>
  <si>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</si>
  <si>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</si>
  <si>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</si>
  <si>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</si>
  <si>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</si>
  <si>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</si>
  <si>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</si>
  <si>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</si>
  <si>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</si>
  <si>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</si>
  <si>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</si>
  <si>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</si>
  <si>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</si>
  <si>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</si>
  <si>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</si>
  <si>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</si>
  <si>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</si>
  <si>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</si>
  <si>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</si>
  <si>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</si>
  <si>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</si>
  <si>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</si>
  <si>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</si>
  <si>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</si>
  <si>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</si>
  <si>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</si>
  <si>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</si>
  <si>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</si>
  <si>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</si>
  <si>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</si>
  <si>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</si>
  <si>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</si>
  <si>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</si>
  <si>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</si>
  <si>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</si>
  <si>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</si>
  <si>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</si>
  <si>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</si>
  <si>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</si>
  <si>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</si>
  <si>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</si>
  <si>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</si>
  <si>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</si>
  <si>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</si>
  <si>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</si>
  <si>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</si>
  <si>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</si>
  <si>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</si>
  <si>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</si>
  <si>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</si>
  <si>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</si>
  <si>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</si>
  <si>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</si>
  <si>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</si>
  <si>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</si>
  <si>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</si>
  <si>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</si>
  <si>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</si>
  <si>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</si>
  <si>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</si>
  <si>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</si>
  <si>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</si>
  <si>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</si>
  <si>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</si>
  <si>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</si>
  <si>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</si>
  <si>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</si>
  <si>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</si>
  <si>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</si>
  <si>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</si>
  <si>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</si>
  <si>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</si>
  <si>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</si>
  <si>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</si>
  <si>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</si>
  <si>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</si>
  <si>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</si>
  <si>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</si>
  <si>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</si>
  <si>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</si>
  <si>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</si>
  <si>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</si>
  <si>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</si>
  <si>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</si>
  <si>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</si>
  <si>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</si>
  <si>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</si>
  <si>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</si>
  <si>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</si>
  <si>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</si>
  <si>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</si>
  <si>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</si>
  <si>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</si>
  <si>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</si>
  <si>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</si>
  <si>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</si>
  <si>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</si>
  <si>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</si>
  <si>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</si>
  <si>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</si>
  <si>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</si>
  <si>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</si>
  <si>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</si>
  <si>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</si>
  <si>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</si>
  <si>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</si>
  <si>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</si>
  <si>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</si>
  <si>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</si>
  <si>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</si>
  <si>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</si>
  <si>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</si>
  <si>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</si>
  <si>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</si>
  <si>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</si>
  <si>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</si>
  <si>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</si>
  <si>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</si>
  <si>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</si>
  <si>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</si>
  <si>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</si>
  <si>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</si>
  <si>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</si>
  <si>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</si>
  <si>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</si>
  <si>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</si>
  <si>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</si>
  <si>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</si>
  <si>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</si>
  <si>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</si>
  <si>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</si>
  <si>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</si>
  <si>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</si>
  <si>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</si>
  <si>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</si>
  <si>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</si>
  <si>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</si>
  <si>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</si>
  <si>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</si>
  <si>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</si>
  <si>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</si>
  <si>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</si>
  <si>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</si>
  <si>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</si>
  <si>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</si>
  <si>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</si>
  <si>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</si>
  <si>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</si>
  <si>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</si>
  <si>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</si>
  <si>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</si>
  <si>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</si>
  <si>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</si>
  <si>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</si>
  <si>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</si>
  <si>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</si>
  <si>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</si>
  <si>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</si>
  <si>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</si>
  <si>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</si>
  <si>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</si>
  <si>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</si>
  <si>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</si>
  <si>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</si>
  <si>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</si>
  <si>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</si>
  <si>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</si>
  <si>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</si>
  <si>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</si>
  <si>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</si>
  <si>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</si>
  <si>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</si>
  <si>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</si>
  <si>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</si>
  <si>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</si>
  <si>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</si>
  <si>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</si>
  <si>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</si>
  <si>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</si>
  <si>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</si>
  <si>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</si>
  <si>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</si>
  <si>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</si>
  <si>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</si>
  <si>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</si>
  <si>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</si>
  <si>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</si>
  <si>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</si>
  <si>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</si>
  <si>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</si>
  <si>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</si>
  <si>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</si>
  <si>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</si>
  <si>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</si>
  <si>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</si>
  <si>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</si>
  <si>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</si>
  <si>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</si>
  <si>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</si>
  <si>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</si>
  <si>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</si>
  <si>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</si>
  <si>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</si>
  <si>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</si>
  <si>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</si>
  <si>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</si>
  <si>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</si>
  <si>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</si>
  <si>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</si>
  <si>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</si>
  <si>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</si>
  <si>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</si>
  <si>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</si>
  <si>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</si>
  <si>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</si>
  <si>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</si>
  <si>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</si>
  <si>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</si>
  <si>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</si>
  <si>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</si>
  <si>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</si>
  <si>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</si>
  <si>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</si>
  <si>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</si>
  <si>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</si>
  <si>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</si>
  <si>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</si>
  <si>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</si>
  <si>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</si>
  <si>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</si>
  <si>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</si>
  <si>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</si>
  <si>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</si>
  <si>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</si>
  <si>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</si>
  <si>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</si>
  <si>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</si>
  <si>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</si>
  <si>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</si>
  <si>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</si>
  <si>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</si>
  <si>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</si>
  <si>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</si>
  <si>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</si>
  <si>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</si>
  <si>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</si>
  <si>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</si>
  <si>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</si>
  <si>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</si>
  <si>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</si>
  <si>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</si>
  <si>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</si>
  <si>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</si>
  <si>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</si>
  <si>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</si>
  <si>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</si>
  <si>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</si>
  <si>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</si>
  <si>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</si>
  <si>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</si>
  <si>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</si>
  <si>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</si>
  <si>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</si>
  <si>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</si>
  <si>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</si>
  <si>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</si>
  <si>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</si>
  <si>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</si>
  <si>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</si>
  <si>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</si>
  <si>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</si>
  <si>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</si>
  <si>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</si>
  <si>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</si>
  <si>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</si>
  <si>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</si>
  <si>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</si>
  <si>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</si>
  <si>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</si>
  <si>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</si>
  <si>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</si>
  <si>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</si>
  <si>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</si>
  <si>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</si>
  <si>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</si>
  <si>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</si>
  <si>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</si>
  <si>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</si>
  <si>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</si>
  <si>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</si>
  <si>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</si>
  <si>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</si>
  <si>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</si>
  <si>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</si>
  <si>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</si>
  <si>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</si>
  <si>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</si>
  <si>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</si>
  <si>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</si>
  <si>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</si>
  <si>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</si>
  <si>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</si>
  <si>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</si>
  <si>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</si>
  <si>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</si>
  <si>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</si>
  <si>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</si>
  <si>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</si>
  <si>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</si>
  <si>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</si>
  <si>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</si>
  <si>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</si>
  <si>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</si>
  <si>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</si>
  <si>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</si>
  <si>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</si>
  <si>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</si>
  <si>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</si>
  <si>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</si>
  <si>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</si>
  <si>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</si>
  <si>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</si>
  <si>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</si>
  <si>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</si>
  <si>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</si>
  <si>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</si>
  <si>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</si>
  <si>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</si>
  <si>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</si>
  <si>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</si>
  <si>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</si>
  <si>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</si>
  <si>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</si>
  <si>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</si>
  <si>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</si>
  <si>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</si>
  <si>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</si>
  <si>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</si>
  <si>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</si>
  <si>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</si>
  <si>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</si>
  <si>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</si>
  <si>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</si>
  <si>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</si>
  <si>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</si>
  <si>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</si>
  <si>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</si>
  <si>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</si>
  <si>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</si>
  <si>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</si>
  <si>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</si>
  <si>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</si>
  <si>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</si>
  <si>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</si>
  <si>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</si>
  <si>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</si>
  <si>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</si>
  <si>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</si>
  <si>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</si>
  <si>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</si>
  <si>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</si>
  <si>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</si>
  <si>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</si>
  <si>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</si>
  <si>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</si>
  <si>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</si>
  <si>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</si>
  <si>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</si>
  <si>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</si>
  <si>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</si>
  <si>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</si>
  <si>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</si>
  <si>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</si>
  <si>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</si>
  <si>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</si>
  <si>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</si>
  <si>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</si>
  <si>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</si>
  <si>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</si>
  <si>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</si>
  <si>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</si>
  <si>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</si>
  <si>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</si>
  <si>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</si>
  <si>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</si>
  <si>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</si>
  <si>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</si>
  <si>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</si>
  <si>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</si>
  <si>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</si>
  <si>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</si>
  <si>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</si>
  <si>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</si>
  <si>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</si>
  <si>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</si>
  <si>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</si>
  <si>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</si>
  <si>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</si>
  <si>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</si>
  <si>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</si>
  <si>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</si>
  <si>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</si>
  <si>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</si>
  <si>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</si>
  <si>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</si>
  <si>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</si>
  <si>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</si>
  <si>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</si>
  <si>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</si>
  <si>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</si>
  <si>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</si>
  <si>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</si>
  <si>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</si>
  <si>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</si>
  <si>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</si>
  <si>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</si>
  <si>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</si>
  <si>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</si>
  <si>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</si>
  <si>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</si>
  <si>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</si>
  <si>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</si>
  <si>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</si>
  <si>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</si>
  <si>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</si>
  <si>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</si>
  <si>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</si>
  <si>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</si>
  <si>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</si>
  <si>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</si>
  <si>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</si>
  <si>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</si>
  <si>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</si>
  <si>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</si>
  <si>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</si>
  <si>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</si>
  <si>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</si>
  <si>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</si>
  <si>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</si>
  <si>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</si>
  <si>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</si>
  <si>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</si>
  <si>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</si>
  <si>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</si>
  <si>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</si>
  <si>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</si>
  <si>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</si>
  <si>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</si>
  <si>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</si>
  <si>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</si>
  <si>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</si>
  <si>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</si>
  <si>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</si>
  <si>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</si>
  <si>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</si>
  <si>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</si>
  <si>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</si>
  <si>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</si>
  <si>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</si>
  <si>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</si>
  <si>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</si>
  <si>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</si>
  <si>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</si>
  <si>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</si>
  <si>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</si>
  <si>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</si>
  <si>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</si>
  <si>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</si>
  <si>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</si>
  <si>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</si>
  <si>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</si>
  <si>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</si>
  <si>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</si>
  <si>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</si>
  <si>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</si>
  <si>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</si>
  <si>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</si>
  <si>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</si>
  <si>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</si>
  <si>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</si>
  <si>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</si>
  <si>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</si>
  <si>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</si>
  <si>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</si>
  <si>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</si>
  <si>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</si>
  <si>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</si>
  <si>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</si>
  <si>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</si>
  <si>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</si>
  <si>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</si>
  <si>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</si>
  <si>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</si>
  <si>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</si>
  <si>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</si>
  <si>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</si>
  <si>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</si>
  <si>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</si>
  <si>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</si>
  <si>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</si>
  <si>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</si>
  <si>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</si>
  <si>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</si>
  <si>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</si>
  <si>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</si>
  <si>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</si>
  <si>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</si>
  <si>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</si>
  <si>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</si>
  <si>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</si>
  <si>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</si>
  <si>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</si>
  <si>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</si>
  <si>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</si>
  <si>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</si>
  <si>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</si>
  <si>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</si>
  <si>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</si>
  <si>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</si>
  <si>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</si>
  <si>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</si>
  <si>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</si>
  <si>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</si>
  <si>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</si>
  <si>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</si>
  <si>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</si>
  <si>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</si>
  <si>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</si>
  <si>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</si>
  <si>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</si>
  <si>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</si>
  <si>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</si>
  <si>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</si>
  <si>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</si>
  <si>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</si>
  <si>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</si>
  <si>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</si>
  <si>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</si>
  <si>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</si>
  <si>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</si>
  <si>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</si>
  <si>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</si>
  <si>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</si>
  <si>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</si>
  <si>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</si>
  <si>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</si>
  <si>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</si>
  <si>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</si>
  <si>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</si>
  <si>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</si>
  <si>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</si>
  <si>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</si>
  <si>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</si>
  <si>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</si>
  <si>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</si>
  <si>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</si>
  <si>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</si>
  <si>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</si>
  <si>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</si>
  <si>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</si>
  <si>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</si>
  <si>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</si>
  <si>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</si>
  <si>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</si>
  <si>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</si>
  <si>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</si>
  <si>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</si>
  <si>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</si>
  <si>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</si>
  <si>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</si>
  <si>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</si>
  <si>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</si>
  <si>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</si>
  <si>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</si>
  <si>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</si>
  <si>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</si>
  <si>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</si>
  <si>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</si>
  <si>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</si>
  <si>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</si>
  <si>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</si>
  <si>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</si>
  <si>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</si>
  <si>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</si>
  <si>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</si>
  <si>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</si>
  <si>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</si>
  <si>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</si>
  <si>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</si>
  <si>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</si>
  <si>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</si>
  <si>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</si>
  <si>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</si>
  <si>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</si>
  <si>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</si>
  <si>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</si>
  <si>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</si>
  <si>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</si>
  <si>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</si>
  <si>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</si>
  <si>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</si>
  <si>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</si>
  <si>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</si>
  <si>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</si>
  <si>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</si>
  <si>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</si>
  <si>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</si>
  <si>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</si>
  <si>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</si>
  <si>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</si>
  <si>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</si>
  <si>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</si>
  <si>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</si>
  <si>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</si>
  <si>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</si>
  <si>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</si>
  <si>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</si>
  <si>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</si>
  <si>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</si>
  <si>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</si>
  <si>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</si>
  <si>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</si>
  <si>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</si>
  <si>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</si>
  <si>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</si>
  <si>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</si>
  <si>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</si>
  <si>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</si>
  <si>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</si>
  <si>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</si>
  <si>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</si>
  <si>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</si>
  <si>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</si>
  <si>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</si>
  <si>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</si>
  <si>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</si>
  <si>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</si>
  <si>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</si>
  <si>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</si>
  <si>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</si>
  <si>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</si>
  <si>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</si>
  <si>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</si>
  <si>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</si>
  <si>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</si>
  <si>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</si>
  <si>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</si>
  <si>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</si>
  <si>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</si>
  <si>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</si>
  <si>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</si>
  <si>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</si>
  <si>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</si>
  <si>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</si>
  <si>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</si>
  <si>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</si>
  <si>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</si>
  <si>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</si>
  <si>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</si>
  <si>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</si>
  <si>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</si>
  <si>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</si>
  <si>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</si>
  <si>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</si>
  <si>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</si>
  <si>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</si>
  <si>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</si>
  <si>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</si>
  <si>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</si>
  <si>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</si>
  <si>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</si>
  <si>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</si>
  <si>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</si>
  <si>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</si>
  <si>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</si>
  <si>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</si>
  <si>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</si>
  <si>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</si>
  <si>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</si>
  <si>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</si>
  <si>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</si>
  <si>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</si>
  <si>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</si>
  <si>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</si>
  <si>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</si>
  <si>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</si>
  <si>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</si>
  <si>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</si>
  <si>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</si>
  <si>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</si>
  <si>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</si>
  <si>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</si>
  <si>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</si>
  <si>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</si>
  <si>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</si>
  <si>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</si>
  <si>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</si>
  <si>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</si>
  <si>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</si>
  <si>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</si>
  <si>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</si>
  <si>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</si>
  <si>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</si>
  <si>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</si>
  <si>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</si>
  <si>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</si>
  <si>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</si>
  <si>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</si>
  <si>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</si>
  <si>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</si>
  <si>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</si>
  <si>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</si>
  <si>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</si>
  <si>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</si>
  <si>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</si>
  <si>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</si>
  <si>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</si>
  <si>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</si>
  <si>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</si>
  <si>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</si>
  <si>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</si>
  <si>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</si>
  <si>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</si>
  <si>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</si>
  <si>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</si>
  <si>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</si>
  <si>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</si>
  <si>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</si>
  <si>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</si>
  <si>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</si>
  <si>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</si>
  <si>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</si>
  <si>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</si>
  <si>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</si>
  <si>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</si>
  <si>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</si>
  <si>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</si>
  <si>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</si>
  <si>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</si>
  <si>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</si>
  <si>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</si>
  <si>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</si>
  <si>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</si>
  <si>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</si>
  <si>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</si>
  <si>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</si>
  <si>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</si>
  <si>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</si>
  <si>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</si>
  <si>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</si>
  <si>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</si>
  <si>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</si>
  <si>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</si>
  <si>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</si>
  <si>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</si>
  <si>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</si>
  <si>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</si>
  <si>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</si>
  <si>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</si>
  <si>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</si>
  <si>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</si>
  <si>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</si>
  <si>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</si>
  <si>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</si>
  <si>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</si>
  <si>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</si>
  <si>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</si>
  <si>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</si>
  <si>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</si>
  <si>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</si>
  <si>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</si>
  <si>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</si>
  <si>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</si>
  <si>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</si>
  <si>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</si>
  <si>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</si>
  <si>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</si>
  <si>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</si>
  <si>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</si>
  <si>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</si>
  <si>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</si>
  <si>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</si>
  <si>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</si>
  <si>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</si>
  <si>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</si>
  <si>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</si>
  <si>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</si>
  <si>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</si>
  <si>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</si>
  <si>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</si>
  <si>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</si>
  <si>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</si>
  <si>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</si>
  <si>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</si>
  <si>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</si>
  <si>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</si>
  <si>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</si>
  <si>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</si>
  <si>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</si>
  <si>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</si>
  <si>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</si>
  <si>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</si>
  <si>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</si>
  <si>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</si>
  <si>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</si>
  <si>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</si>
  <si>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</si>
  <si>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</si>
  <si>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</si>
  <si>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</si>
  <si>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</si>
  <si>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</si>
  <si>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</si>
  <si>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</si>
  <si>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</si>
  <si>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</si>
  <si>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</si>
  <si>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</si>
  <si>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</si>
  <si>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</si>
  <si>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</si>
  <si>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</si>
  <si>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</si>
  <si>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</si>
  <si>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</si>
  <si>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</si>
  <si>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</si>
  <si>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</si>
  <si>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</si>
  <si>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</si>
  <si>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</si>
  <si>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</si>
  <si>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</si>
  <si>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</si>
  <si>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</si>
  <si>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</si>
  <si>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</si>
  <si>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</si>
  <si>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</si>
  <si>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</si>
  <si>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</si>
  <si>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</si>
  <si>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</si>
  <si>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</si>
  <si>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</si>
  <si>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</si>
  <si>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</si>
  <si>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</si>
  <si>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</si>
  <si>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</si>
  <si>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</si>
  <si>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</si>
  <si>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</si>
  <si>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</si>
  <si>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</si>
  <si>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</si>
  <si>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</si>
  <si>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</si>
  <si>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</si>
  <si>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</si>
  <si>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</si>
  <si>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</si>
  <si>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</si>
  <si>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</si>
  <si>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</si>
  <si>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</si>
  <si>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</si>
  <si>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</si>
  <si>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</si>
  <si>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</si>
  <si>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</si>
  <si>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</si>
  <si>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</si>
  <si>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</si>
  <si>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</si>
  <si>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</si>
  <si>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</si>
  <si>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</si>
  <si>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</si>
  <si>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</si>
  <si>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</si>
  <si>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</si>
  <si>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</si>
  <si>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</si>
  <si>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</si>
  <si>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</si>
  <si>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</si>
  <si>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</si>
  <si>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</si>
  <si>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</si>
  <si>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</si>
  <si>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</si>
  <si>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</si>
  <si>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</si>
  <si>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</si>
  <si>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</si>
  <si>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</si>
  <si>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</si>
  <si>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</si>
  <si>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</si>
  <si>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</si>
  <si>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</si>
  <si>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</si>
  <si>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</si>
  <si>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</si>
  <si>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</si>
  <si>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</si>
  <si>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</si>
  <si>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</si>
  <si>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</si>
  <si>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</si>
  <si>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</si>
  <si>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</si>
  <si>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</si>
  <si>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</si>
  <si>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</si>
  <si>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</si>
  <si>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</si>
  <si>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</si>
  <si>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</si>
  <si>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</si>
  <si>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</si>
  <si>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</si>
  <si>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</si>
  <si>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</si>
  <si>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</si>
  <si>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</si>
  <si>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</si>
  <si>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</si>
  <si>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</si>
  <si>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</si>
  <si>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</si>
  <si>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</si>
  <si>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</si>
  <si>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</si>
  <si>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</si>
  <si>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</si>
  <si>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</si>
  <si>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</si>
  <si>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</si>
  <si>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</si>
  <si>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</si>
  <si>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</si>
  <si>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</si>
  <si>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</si>
  <si>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</si>
  <si>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</si>
  <si>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</si>
  <si>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</si>
  <si>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</si>
  <si>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</si>
  <si>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</si>
  <si>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</si>
  <si>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</si>
  <si>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</si>
  <si>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</si>
  <si>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</si>
  <si>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</si>
  <si>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</si>
  <si>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</si>
  <si>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</si>
  <si>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</si>
  <si>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</si>
  <si>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</si>
  <si>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</si>
  <si>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</si>
  <si>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</si>
  <si>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</si>
  <si>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</si>
  <si>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</si>
  <si>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</si>
  <si>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</si>
  <si>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</si>
  <si>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</si>
  <si>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</si>
  <si>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</si>
  <si>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</si>
  <si>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</si>
  <si>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</si>
  <si>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</si>
  <si>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</si>
  <si>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</si>
  <si>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</si>
  <si>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</si>
  <si>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</si>
  <si>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</si>
  <si>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</si>
  <si>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</si>
  <si>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</si>
  <si>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</si>
  <si>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</si>
  <si>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</si>
  <si>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</si>
  <si>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</si>
  <si>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</si>
  <si>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</si>
  <si>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</si>
  <si>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</si>
  <si>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</si>
  <si>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</si>
  <si>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</si>
  <si>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</si>
  <si>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</si>
  <si>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</si>
  <si>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</si>
  <si>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</si>
  <si>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</si>
  <si>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</si>
  <si>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</si>
  <si>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</si>
  <si>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</si>
  <si>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</si>
  <si>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</si>
  <si>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</si>
  <si>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</si>
  <si>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</si>
  <si>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</si>
  <si>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</si>
  <si>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</si>
  <si>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</si>
  <si>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</si>
  <si>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</si>
  <si>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</si>
  <si>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</si>
  <si>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</si>
  <si>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</si>
  <si>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</si>
  <si>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</si>
  <si>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</si>
  <si>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</si>
  <si>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</si>
  <si>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</si>
  <si>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</si>
  <si>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</si>
  <si>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</si>
  <si>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</si>
  <si>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</si>
  <si>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</si>
  <si>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</si>
  <si>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</si>
  <si>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</si>
  <si>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</si>
  <si>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</si>
  <si>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</si>
  <si>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</si>
  <si>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</si>
  <si>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</si>
  <si>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</si>
  <si>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</si>
  <si>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</si>
  <si>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</si>
  <si>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</si>
  <si>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</si>
  <si>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</si>
  <si>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</si>
  <si>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</si>
  <si>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</si>
  <si>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</si>
  <si>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</si>
  <si>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</si>
  <si>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</si>
  <si>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</si>
  <si>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</si>
  <si>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</si>
  <si>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</si>
  <si>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</si>
  <si>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</si>
  <si>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</si>
  <si>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</si>
  <si>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</si>
  <si>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</si>
  <si>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</si>
  <si>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</si>
  <si>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</si>
  <si>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</si>
  <si>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</si>
  <si>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</si>
  <si>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</si>
  <si>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</si>
  <si>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</si>
  <si>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</si>
  <si>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</si>
  <si>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</si>
  <si>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</si>
  <si>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</si>
  <si>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</si>
  <si>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</si>
  <si>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</si>
  <si>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</si>
  <si>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</si>
  <si>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</si>
  <si>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</si>
  <si>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</si>
  <si>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</si>
  <si>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</si>
  <si>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</si>
  <si>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</si>
  <si>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</si>
  <si>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</si>
  <si>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</si>
  <si>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</si>
  <si>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</si>
  <si>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</si>
  <si>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</si>
  <si>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</si>
  <si>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</si>
  <si>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</si>
  <si>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</si>
  <si>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</si>
  <si>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</si>
  <si>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</si>
  <si>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</si>
  <si>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</si>
  <si>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</si>
  <si>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</si>
  <si>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</si>
  <si>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</si>
  <si>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</si>
  <si>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</si>
  <si>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</si>
  <si>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</si>
  <si>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</si>
  <si>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</si>
  <si>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</si>
  <si>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</si>
  <si>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</si>
  <si>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</si>
  <si>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</si>
  <si>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</si>
  <si>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</si>
  <si>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</si>
  <si>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</si>
  <si>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</si>
  <si>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</si>
  <si>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</si>
  <si>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</si>
  <si>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</si>
  <si>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</si>
  <si>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</si>
  <si>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</si>
  <si>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</si>
  <si>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</si>
  <si>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</si>
  <si>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</si>
  <si>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</si>
  <si>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</si>
  <si>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</si>
  <si>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</si>
  <si>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</si>
  <si>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</si>
  <si>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</si>
  <si>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</si>
  <si>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</si>
  <si>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</si>
  <si>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</si>
  <si>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</si>
  <si>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</si>
  <si>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</si>
  <si>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</si>
  <si>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</si>
  <si>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</si>
  <si>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</si>
  <si>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</si>
  <si>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</si>
  <si>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</si>
  <si>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</si>
  <si>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</si>
  <si>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</si>
  <si>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</si>
  <si>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</si>
  <si>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</si>
  <si>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</si>
  <si>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</si>
  <si>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</si>
  <si>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</si>
  <si>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</si>
  <si>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</si>
  <si>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</si>
  <si>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</si>
  <si>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</si>
  <si>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</si>
  <si>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</si>
  <si>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</si>
  <si>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</si>
  <si>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</si>
  <si>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</si>
  <si>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</si>
  <si>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</si>
  <si>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</si>
  <si>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</si>
  <si>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</si>
  <si>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</si>
  <si>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</si>
  <si>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</si>
  <si>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</si>
  <si>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</si>
  <si>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</si>
  <si>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</si>
  <si>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</si>
  <si>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</si>
  <si>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</si>
  <si>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</si>
  <si>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</si>
  <si>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</si>
  <si>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</si>
  <si>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</si>
  <si>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</si>
  <si>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</si>
  <si>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</si>
  <si>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</si>
  <si>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</si>
  <si>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</si>
  <si>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</si>
  <si>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</si>
  <si>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</si>
  <si>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</si>
  <si>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</si>
  <si>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</si>
  <si>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</si>
  <si>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</si>
  <si>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</si>
  <si>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</si>
  <si>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</si>
  <si>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</si>
  <si>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</si>
  <si>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</si>
  <si>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</si>
  <si>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</si>
  <si>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</si>
  <si>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</si>
  <si>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</si>
  <si>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</si>
  <si>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</si>
  <si>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</si>
  <si>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</si>
  <si>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</si>
  <si>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</si>
  <si>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</si>
  <si>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</si>
  <si>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</si>
  <si>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</si>
  <si>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</si>
  <si>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</si>
  <si>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</si>
  <si>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</si>
  <si>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</si>
  <si>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</si>
  <si>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</si>
  <si>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</si>
  <si>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</si>
  <si>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</si>
  <si>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</si>
  <si>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</si>
  <si>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</si>
  <si>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</si>
  <si>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</si>
  <si>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</si>
  <si>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</si>
  <si>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</si>
  <si>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</si>
  <si>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</si>
  <si>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</si>
  <si>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</si>
  <si>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</si>
  <si>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</si>
  <si>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</si>
  <si>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</si>
  <si>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</si>
  <si>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</si>
  <si>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</si>
  <si>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</si>
  <si>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</si>
  <si>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</si>
  <si>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</si>
  <si>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</si>
  <si>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</si>
  <si>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</si>
  <si>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</si>
  <si>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</si>
  <si>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</si>
  <si>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</si>
  <si>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</si>
  <si>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</si>
  <si>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</si>
  <si>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</si>
  <si>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</si>
  <si>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</si>
  <si>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</si>
  <si>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</si>
  <si>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</si>
  <si>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</si>
  <si>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</si>
  <si>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</si>
  <si>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</si>
  <si>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</si>
  <si>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</si>
  <si>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</si>
  <si>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</si>
  <si>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</si>
  <si>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</si>
  <si>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</si>
  <si>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</si>
  <si>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</si>
  <si>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</si>
  <si>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</si>
  <si>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</si>
  <si>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</si>
  <si>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</si>
  <si>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</si>
  <si>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</si>
  <si>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</si>
  <si>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</si>
  <si>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</si>
  <si>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</si>
  <si>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</si>
  <si>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</si>
  <si>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</si>
  <si>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</si>
  <si>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</si>
  <si>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</si>
  <si>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</si>
  <si>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</si>
  <si>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</si>
  <si>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</si>
  <si>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</si>
  <si>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</si>
  <si>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</si>
  <si>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</si>
  <si>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</si>
  <si>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</si>
  <si>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</si>
  <si>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</si>
  <si>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</si>
  <si>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</si>
  <si>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</si>
  <si>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</si>
  <si>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</si>
  <si>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</si>
  <si>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</si>
  <si>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</si>
  <si>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</si>
  <si>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</si>
  <si>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</si>
  <si>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</si>
  <si>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</si>
  <si>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</si>
  <si>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</si>
  <si>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</si>
  <si>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</si>
  <si>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</si>
  <si>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</si>
  <si>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</si>
  <si>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</si>
  <si>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</si>
  <si>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</si>
  <si>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</si>
  <si>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</si>
  <si>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</si>
  <si>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</si>
  <si>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</si>
  <si>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</si>
  <si>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</si>
  <si>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</si>
  <si>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</si>
  <si>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</si>
  <si>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</si>
  <si>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</si>
  <si>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</si>
  <si>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</si>
  <si>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</si>
  <si>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</si>
  <si>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</si>
  <si>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</si>
  <si>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</si>
  <si>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</si>
  <si>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</si>
  <si>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</si>
  <si>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</si>
  <si>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</si>
  <si>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</si>
  <si>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</si>
  <si>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</si>
  <si>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</si>
  <si>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</si>
  <si>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</si>
  <si>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</si>
  <si>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</si>
  <si>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</si>
  <si>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</si>
  <si>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</si>
  <si>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</si>
  <si>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</si>
  <si>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</si>
  <si>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</si>
  <si>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</si>
  <si>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</si>
  <si>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</si>
  <si>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</si>
  <si>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</si>
  <si>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</si>
  <si>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</si>
  <si>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</si>
  <si>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</si>
  <si>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</si>
  <si>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</si>
  <si>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</si>
  <si>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</si>
  <si>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</si>
  <si>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</si>
  <si>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</si>
  <si>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</si>
  <si>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</si>
  <si>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</si>
  <si>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</si>
  <si>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</si>
  <si>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</si>
  <si>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</si>
  <si>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</si>
  <si>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</si>
  <si>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</si>
  <si>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</si>
  <si>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</si>
  <si>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</si>
  <si>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</si>
  <si>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</si>
  <si>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</si>
  <si>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</si>
  <si>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</si>
  <si>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</si>
  <si>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</si>
  <si>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</si>
  <si>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</si>
  <si>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</si>
  <si>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</si>
  <si>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</si>
  <si>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</si>
  <si>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</si>
  <si>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</si>
  <si>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</si>
  <si>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</si>
  <si>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</si>
  <si>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</si>
  <si>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</si>
  <si>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</si>
  <si>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</si>
  <si>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</si>
  <si>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</si>
  <si>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</si>
  <si>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</si>
  <si>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</si>
  <si>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</si>
  <si>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</si>
  <si>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</si>
  <si>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</si>
  <si>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</si>
  <si>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</si>
  <si>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</si>
  <si>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</si>
  <si>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</si>
  <si>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</si>
  <si>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</si>
  <si>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</si>
  <si>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</si>
  <si>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</si>
  <si>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</si>
  <si>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</si>
  <si>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</si>
  <si>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</si>
  <si>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</si>
  <si>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</si>
  <si>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</si>
  <si>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</si>
  <si>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</si>
  <si>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</si>
  <si>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</si>
  <si>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</si>
  <si>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</si>
  <si>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</si>
  <si>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</si>
  <si>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</si>
  <si>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</si>
  <si>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</si>
  <si>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</si>
  <si>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</si>
  <si>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</si>
  <si>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</si>
  <si>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</si>
  <si>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</si>
  <si>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</si>
  <si>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</si>
  <si>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</si>
  <si>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</si>
  <si>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</si>
  <si>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</si>
  <si>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</si>
  <si>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</si>
  <si>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</si>
  <si>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</si>
  <si>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</si>
  <si>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</si>
  <si>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</si>
  <si>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</si>
  <si>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</si>
  <si>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</si>
  <si>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</si>
  <si>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</si>
  <si>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</si>
  <si>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</si>
  <si>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</si>
  <si>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</si>
  <si>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</si>
  <si>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</si>
  <si>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</si>
  <si>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</si>
  <si>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</si>
  <si>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</si>
  <si>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</si>
  <si>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</si>
  <si>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</si>
  <si>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</si>
  <si>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</si>
  <si>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</si>
  <si>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</si>
  <si>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</si>
  <si>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</si>
  <si>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</si>
  <si>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</si>
  <si>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</si>
  <si>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</si>
  <si>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</si>
  <si>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</si>
  <si>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</si>
  <si>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</si>
  <si>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</si>
  <si>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</si>
  <si>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</si>
  <si>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</si>
  <si>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</si>
  <si>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</si>
  <si>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</si>
  <si>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</si>
  <si>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</si>
  <si>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</si>
  <si>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</si>
  <si>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</si>
  <si>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</si>
  <si>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</si>
  <si>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</si>
  <si>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</si>
  <si>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</si>
  <si>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</si>
  <si>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</si>
  <si>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</si>
  <si>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</si>
  <si>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</si>
  <si>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</si>
  <si>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</si>
  <si>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</si>
  <si>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</si>
  <si>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</si>
  <si>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</si>
  <si>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</si>
  <si>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</si>
  <si>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</si>
  <si>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</si>
  <si>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</si>
  <si>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</si>
  <si>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</si>
  <si>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</si>
  <si>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</si>
  <si>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</si>
  <si>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</si>
  <si>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</si>
  <si>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</si>
  <si>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</si>
  <si>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</si>
  <si>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</si>
  <si>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</si>
  <si>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</si>
  <si>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</si>
  <si>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</si>
  <si>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</si>
  <si>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</si>
  <si>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</si>
  <si>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</si>
  <si>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</si>
  <si>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</si>
  <si>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</si>
  <si>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</si>
  <si>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</si>
  <si>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</si>
  <si>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</si>
  <si>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</si>
  <si>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</si>
  <si>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</si>
  <si>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</si>
  <si>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</si>
  <si>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</si>
  <si>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</si>
  <si>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</si>
  <si>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</si>
  <si>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</si>
  <si>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</si>
  <si>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</si>
  <si>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</si>
  <si>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</si>
  <si>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</si>
  <si>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</si>
  <si>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</si>
  <si>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</si>
  <si>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</si>
  <si>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</si>
  <si>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</si>
  <si>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</si>
  <si>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</si>
  <si>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</si>
  <si>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</si>
  <si>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</si>
  <si>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</si>
  <si>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</si>
  <si>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</si>
  <si>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</si>
  <si>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</si>
  <si>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</si>
  <si>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</si>
  <si>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</si>
  <si>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</si>
  <si>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</si>
  <si>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</si>
  <si>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</si>
  <si>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</si>
  <si>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</si>
  <si>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</si>
  <si>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</si>
  <si>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</si>
  <si>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</si>
  <si>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</si>
  <si>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</si>
  <si>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</si>
  <si>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</si>
  <si>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</si>
  <si>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</si>
  <si>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</si>
  <si>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</si>
  <si>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</si>
  <si>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</si>
  <si>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</si>
  <si>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</si>
  <si>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</si>
  <si>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</si>
  <si>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</si>
  <si>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</si>
  <si>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</si>
  <si>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</si>
  <si>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</si>
  <si>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</si>
  <si>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</si>
  <si>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</si>
  <si>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</si>
  <si>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</si>
  <si>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</si>
  <si>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</si>
  <si>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</si>
  <si>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</si>
  <si>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</si>
  <si>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</si>
  <si>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</si>
  <si>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</si>
  <si>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</si>
  <si>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</si>
  <si>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</si>
  <si>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</si>
  <si>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</si>
  <si>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</si>
  <si>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</si>
  <si>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</si>
  <si>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</si>
  <si>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</si>
  <si>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</si>
  <si>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</si>
  <si>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</si>
  <si>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</si>
  <si>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</si>
  <si>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</si>
  <si>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</si>
  <si>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</si>
  <si>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</si>
  <si>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</si>
  <si>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</si>
  <si>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</si>
  <si>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</si>
  <si>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</si>
  <si>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</si>
  <si>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</si>
  <si>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</si>
  <si>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</si>
  <si>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</si>
  <si>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</si>
  <si>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</si>
  <si>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</si>
  <si>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</si>
  <si>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</si>
  <si>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</si>
  <si>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</si>
  <si>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</si>
  <si>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</si>
  <si>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</si>
  <si>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</si>
  <si>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</si>
  <si>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</si>
  <si>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</si>
  <si>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</si>
  <si>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</si>
  <si>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</si>
  <si>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</si>
  <si>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</si>
  <si>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</si>
  <si>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</si>
  <si>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</si>
  <si>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</si>
  <si>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</si>
  <si>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</si>
  <si>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</si>
  <si>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</si>
  <si>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</si>
  <si>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</si>
  <si>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</si>
  <si>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</si>
  <si>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</si>
  <si>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</si>
  <si>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</si>
  <si>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</si>
  <si>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</si>
  <si>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</si>
  <si>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</si>
  <si>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</si>
  <si>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</si>
  <si>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</si>
  <si>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</si>
  <si>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</si>
  <si>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</si>
  <si>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</si>
  <si>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</si>
  <si>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</si>
  <si>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</si>
  <si>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</si>
  <si>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</si>
  <si>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</si>
  <si>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</si>
  <si>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</si>
  <si>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</si>
  <si>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</si>
  <si>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</si>
  <si>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</si>
  <si>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</si>
  <si>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</si>
  <si>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</si>
  <si>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</si>
  <si>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</si>
  <si>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</si>
  <si>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</si>
  <si>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</si>
  <si>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</si>
  <si>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</si>
  <si>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</si>
  <si>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</si>
  <si>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</si>
  <si>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</si>
  <si>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</si>
  <si>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</si>
  <si>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</si>
  <si>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</si>
  <si>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</si>
  <si>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</si>
  <si>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</si>
  <si>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</si>
  <si>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</si>
  <si>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</si>
  <si>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</si>
  <si>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</si>
  <si>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</si>
  <si>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</si>
  <si>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</si>
  <si>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</si>
  <si>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</si>
  <si>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</si>
  <si>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</si>
  <si>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</si>
  <si>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</si>
  <si>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</si>
  <si>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</si>
  <si>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</si>
  <si>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</si>
  <si>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</si>
  <si>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</si>
  <si>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</si>
  <si>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</si>
  <si>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</si>
  <si>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</si>
  <si>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</si>
  <si>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</si>
  <si>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</si>
  <si>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</si>
  <si>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</si>
  <si>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</si>
  <si>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</si>
  <si>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</si>
  <si>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</si>
  <si>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</si>
  <si>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</si>
  <si>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</si>
  <si>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</si>
  <si>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</si>
  <si>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</si>
  <si>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</si>
  <si>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</si>
  <si>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</si>
  <si>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</si>
  <si>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</si>
  <si>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</si>
  <si>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</si>
  <si>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</si>
  <si>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</si>
  <si>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</si>
  <si>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</si>
  <si>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</si>
  <si>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</si>
  <si>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</si>
  <si>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</si>
  <si>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</si>
  <si>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</si>
  <si>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</si>
  <si>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</si>
  <si>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</si>
  <si>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</si>
  <si>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</si>
  <si>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</si>
  <si>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</si>
  <si>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</si>
  <si>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</si>
  <si>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</si>
  <si>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</si>
  <si>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</si>
  <si>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</si>
  <si>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</si>
  <si>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</si>
  <si>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</si>
  <si>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</si>
  <si>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</si>
  <si>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</si>
  <si>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</si>
  <si>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</si>
  <si>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</si>
  <si>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</si>
  <si>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</si>
  <si>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</si>
  <si>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</si>
  <si>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</si>
  <si>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</si>
  <si>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</si>
  <si>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</si>
  <si>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</si>
  <si>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</si>
  <si>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</si>
  <si>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</si>
  <si>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</si>
  <si>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</si>
  <si>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</si>
  <si>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</si>
  <si>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</si>
  <si>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</si>
  <si>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</si>
  <si>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</si>
  <si>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</si>
  <si>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</si>
  <si>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</si>
  <si>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</si>
  <si>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</si>
  <si>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</si>
  <si>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</si>
  <si>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</si>
  <si>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</si>
  <si>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</si>
  <si>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</si>
  <si>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</si>
  <si>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</si>
  <si>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</si>
  <si>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</si>
  <si>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</si>
  <si>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</si>
  <si>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</si>
  <si>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</si>
  <si>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</si>
  <si>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</si>
  <si>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</si>
  <si>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</si>
  <si>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</si>
  <si>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</si>
  <si>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</si>
  <si>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</si>
  <si>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</si>
  <si>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</si>
  <si>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</si>
  <si>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</si>
  <si>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</si>
  <si>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</si>
  <si>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</si>
  <si>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</si>
  <si>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</si>
  <si>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</si>
  <si>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</si>
  <si>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</si>
  <si>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</si>
  <si>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</si>
  <si>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</si>
  <si>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</si>
  <si>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</si>
  <si>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</si>
  <si>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</si>
  <si>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</si>
  <si>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</si>
  <si>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</si>
  <si>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</si>
  <si>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</si>
  <si>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</si>
  <si>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</si>
  <si>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</si>
  <si>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</si>
  <si>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</si>
  <si>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</si>
  <si>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</si>
  <si>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</si>
  <si>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</si>
  <si>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</si>
  <si>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</si>
  <si>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</si>
  <si>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</si>
  <si>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</si>
  <si>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</si>
  <si>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</si>
  <si>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</si>
  <si>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</si>
  <si>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</si>
  <si>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</si>
  <si>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</si>
  <si>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</si>
  <si>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</si>
  <si>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</si>
  <si>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</si>
  <si>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</si>
  <si>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</si>
  <si>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</si>
  <si>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</si>
  <si>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</si>
  <si>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</si>
  <si>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</si>
  <si>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</si>
  <si>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</si>
  <si>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</si>
  <si>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</si>
  <si>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</si>
  <si>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</si>
  <si>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</si>
  <si>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</si>
  <si>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</si>
  <si>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</si>
  <si>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</si>
  <si>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</si>
  <si>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</si>
  <si>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</si>
  <si>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</si>
  <si>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</si>
  <si>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</si>
  <si>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</si>
  <si>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</si>
  <si>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</si>
  <si>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</si>
  <si>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</si>
  <si>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</si>
  <si>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</si>
  <si>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</si>
  <si>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</si>
  <si>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</si>
  <si>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</si>
  <si>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</si>
  <si>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</si>
  <si>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</si>
  <si>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</si>
  <si>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</si>
  <si>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</si>
  <si>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</si>
  <si>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</si>
  <si>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</si>
  <si>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</si>
  <si>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</si>
  <si>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</si>
  <si>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</si>
  <si>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</si>
  <si>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</si>
  <si>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</si>
  <si>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</si>
  <si>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</si>
  <si>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</si>
  <si>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</si>
  <si>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</si>
  <si>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</si>
  <si>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</si>
  <si>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</si>
  <si>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</si>
  <si>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</si>
  <si>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</si>
  <si>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</si>
  <si>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</si>
  <si>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</si>
  <si>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</si>
  <si>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</si>
  <si>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</si>
  <si>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</si>
  <si>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</si>
  <si>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</si>
  <si>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</si>
  <si>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</si>
  <si>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</si>
  <si>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</si>
  <si>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</si>
  <si>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</si>
  <si>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</si>
  <si>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</si>
  <si>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</si>
  <si>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</si>
  <si>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</si>
  <si>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</si>
  <si>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</si>
  <si>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</si>
  <si>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</si>
  <si>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</si>
  <si>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</si>
  <si>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</si>
  <si>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</si>
  <si>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</si>
  <si>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</si>
  <si>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</si>
  <si>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</si>
  <si>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</si>
  <si>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</si>
  <si>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</si>
  <si>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</si>
  <si>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</si>
  <si>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</si>
  <si>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</si>
  <si>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</si>
  <si>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</si>
  <si>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</si>
  <si>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</si>
  <si>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</si>
  <si>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</si>
  <si>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</si>
  <si>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</si>
  <si>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</si>
  <si>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</si>
  <si>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</si>
  <si>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</si>
  <si>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</si>
  <si>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</si>
  <si>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</si>
  <si>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</si>
  <si>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</si>
  <si>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</si>
  <si>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</si>
  <si>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</si>
  <si>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</si>
  <si>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</si>
  <si>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</si>
  <si>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</si>
  <si>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</si>
  <si>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</si>
  <si>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</si>
  <si>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</si>
  <si>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</si>
  <si>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</si>
  <si>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</si>
  <si>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</si>
  <si>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</si>
  <si>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</si>
  <si>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</si>
  <si>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</si>
  <si>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</si>
  <si>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</si>
  <si>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</si>
  <si>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</si>
  <si>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</si>
  <si>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</si>
  <si>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</si>
  <si>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</si>
  <si>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</si>
  <si>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</si>
  <si>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</si>
  <si>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</si>
  <si>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</si>
  <si>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</si>
  <si>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</si>
  <si>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</si>
  <si>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</si>
  <si>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</si>
  <si>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</si>
  <si>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</si>
  <si>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</si>
  <si>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</si>
  <si>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</si>
  <si>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</si>
  <si>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</si>
  <si>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</si>
  <si>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</si>
  <si>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</si>
  <si>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</si>
  <si>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</si>
  <si>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</si>
  <si>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</si>
  <si>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</si>
  <si>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</si>
  <si>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</si>
  <si>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</si>
  <si>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</si>
  <si>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</si>
  <si>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</si>
  <si>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</si>
  <si>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</si>
  <si>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</si>
  <si>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</si>
  <si>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</si>
  <si>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</si>
  <si>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</si>
  <si>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</si>
  <si>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</si>
  <si>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</si>
  <si>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</si>
  <si>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</si>
  <si>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</si>
  <si>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</si>
  <si>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</si>
  <si>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</si>
  <si>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</si>
  <si>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</si>
  <si>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</si>
  <si>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</si>
  <si>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</si>
  <si>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</si>
  <si>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</si>
  <si>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</si>
  <si>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</si>
  <si>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</si>
  <si>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</si>
  <si>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</si>
  <si>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</si>
  <si>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</si>
  <si>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</si>
  <si>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</si>
  <si>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</si>
  <si>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</si>
  <si>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</si>
  <si>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</si>
  <si>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</si>
  <si>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</si>
  <si>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</si>
  <si>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</si>
  <si>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</si>
  <si>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</si>
  <si>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</si>
  <si>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</si>
  <si>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</si>
  <si>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</si>
  <si>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</si>
  <si>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</si>
  <si>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</si>
  <si>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</si>
  <si>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</si>
  <si>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</si>
  <si>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</si>
  <si>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</si>
  <si>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</si>
  <si>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</si>
  <si>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</si>
  <si>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</si>
  <si>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</si>
  <si>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</si>
  <si>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</si>
  <si>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</si>
  <si>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</si>
  <si>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</si>
  <si>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</si>
  <si>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</si>
  <si>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</si>
  <si>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</si>
  <si>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</si>
  <si>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</si>
  <si>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</si>
  <si>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</si>
  <si>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</si>
  <si>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</si>
  <si>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</si>
  <si>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</si>
  <si>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</si>
  <si>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</si>
  <si>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</si>
  <si>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</si>
  <si>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</si>
  <si>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</si>
  <si>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</si>
  <si>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</si>
  <si>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</si>
  <si>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</si>
  <si>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</si>
  <si>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</si>
  <si>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</si>
  <si>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</si>
  <si>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</si>
  <si>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</si>
  <si>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</si>
  <si>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</si>
  <si>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</si>
  <si>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</si>
  <si>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</si>
  <si>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</si>
  <si>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</si>
  <si>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</si>
  <si>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</si>
  <si>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</si>
  <si>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</si>
  <si>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</si>
  <si>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</si>
  <si>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</si>
  <si>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</si>
  <si>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</si>
  <si>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</si>
  <si>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</si>
  <si>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</si>
  <si>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</si>
  <si>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</si>
  <si>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</si>
  <si>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</si>
  <si>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</si>
  <si>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</si>
  <si>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</si>
  <si>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</si>
  <si>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</si>
  <si>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</si>
  <si>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</si>
  <si>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</si>
  <si>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</si>
  <si>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</si>
  <si>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</si>
  <si>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</si>
  <si>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</si>
  <si>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</si>
  <si>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</si>
  <si>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</si>
  <si>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</si>
  <si>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</si>
  <si>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</si>
  <si>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</si>
  <si>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</si>
  <si>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</si>
  <si>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</si>
  <si>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</si>
  <si>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</si>
  <si>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</si>
  <si>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</si>
  <si>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</si>
  <si>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</si>
  <si>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</si>
  <si>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</si>
  <si>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</si>
  <si>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</si>
  <si>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</si>
  <si>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</si>
  <si>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</si>
  <si>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</si>
  <si>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</si>
  <si>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</si>
  <si>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</si>
  <si>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</si>
  <si>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</si>
  <si>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</si>
  <si>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</si>
  <si>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</si>
  <si>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</si>
  <si>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</si>
  <si>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</si>
  <si>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</si>
  <si>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</si>
  <si>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</si>
  <si>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</si>
  <si>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</si>
  <si>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</si>
  <si>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</si>
  <si>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</si>
  <si>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</si>
  <si>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</si>
  <si>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</si>
  <si>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</si>
  <si>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</si>
  <si>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</si>
  <si>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</si>
  <si>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</si>
  <si>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</si>
  <si>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</si>
  <si>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</si>
  <si>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</si>
  <si>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</si>
  <si>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</si>
  <si>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</si>
  <si>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</si>
  <si>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</si>
  <si>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</si>
  <si>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</si>
  <si>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</si>
  <si>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</si>
  <si>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</si>
  <si>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</si>
  <si>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</si>
  <si>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</si>
  <si>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</si>
  <si>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</si>
  <si>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</si>
  <si>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</si>
  <si>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</si>
  <si>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</si>
  <si>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</si>
  <si>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</si>
  <si>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</si>
  <si>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</si>
  <si>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</si>
  <si>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</si>
  <si>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</si>
  <si>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</si>
  <si>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</si>
  <si>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</si>
  <si>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</si>
  <si>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</si>
  <si>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</si>
  <si>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</si>
  <si>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</si>
  <si>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</si>
  <si>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</si>
  <si>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</si>
  <si>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</si>
  <si>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</si>
  <si>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</si>
  <si>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</si>
  <si>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</si>
  <si>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</si>
  <si>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</si>
  <si>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</si>
  <si>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</si>
  <si>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</si>
  <si>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</si>
  <si>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</si>
  <si>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</si>
  <si>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</si>
  <si>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</si>
  <si>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</si>
  <si>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</si>
  <si>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</si>
  <si>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</si>
  <si>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</si>
  <si>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</si>
  <si>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</si>
  <si>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</si>
  <si>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</si>
  <si>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</si>
  <si>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</si>
  <si>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</si>
  <si>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</si>
  <si>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</si>
  <si>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</si>
  <si>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</si>
  <si>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</si>
  <si>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</si>
  <si>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</si>
  <si>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</si>
  <si>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</si>
  <si>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</si>
  <si>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</si>
  <si>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</si>
  <si>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</si>
  <si>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</si>
  <si>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</si>
  <si>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</si>
  <si>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</si>
  <si>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</si>
  <si>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</si>
  <si>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</si>
  <si>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</si>
  <si>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</si>
  <si>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</si>
  <si>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</si>
  <si>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</si>
  <si>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</si>
  <si>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</si>
  <si>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</si>
  <si>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</si>
  <si>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</si>
  <si>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</si>
  <si>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</si>
  <si>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</si>
  <si>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</si>
  <si>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</si>
  <si>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</si>
  <si>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</si>
  <si>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</si>
  <si>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</si>
  <si>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</si>
  <si>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</si>
  <si>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</si>
  <si>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</si>
  <si>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</si>
  <si>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</si>
  <si>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</si>
  <si>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</si>
  <si>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</si>
  <si>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</si>
  <si>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</si>
  <si>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</si>
  <si>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</si>
  <si>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</si>
  <si>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</si>
  <si>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</si>
  <si>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</si>
  <si>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</si>
  <si>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</si>
  <si>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</si>
  <si>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</si>
  <si>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</si>
  <si>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</si>
  <si>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</si>
  <si>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</si>
  <si>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</si>
  <si>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</si>
  <si>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</si>
  <si>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</si>
  <si>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</si>
  <si>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</si>
  <si>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</si>
  <si>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</si>
  <si>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</si>
  <si>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</si>
  <si>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</si>
  <si>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</si>
  <si>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</si>
  <si>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</si>
  <si>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</si>
  <si>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</si>
  <si>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</si>
  <si>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</si>
  <si>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</si>
  <si>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</si>
  <si>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</si>
  <si>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</si>
  <si>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</si>
  <si>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</si>
  <si>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</si>
  <si>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</si>
  <si>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</si>
  <si>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</si>
  <si>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</si>
  <si>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</si>
  <si>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</si>
  <si>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</si>
  <si>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</si>
  <si>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</si>
  <si>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</si>
  <si>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</si>
  <si>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</si>
  <si>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</si>
  <si>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</si>
  <si>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</si>
  <si>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</si>
  <si>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</si>
  <si>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</si>
  <si>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</si>
  <si>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</si>
  <si>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</si>
  <si>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</si>
  <si>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</si>
  <si>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</si>
  <si>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</si>
  <si>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</si>
  <si>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</si>
  <si>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</si>
  <si>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</si>
  <si>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</si>
  <si>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</si>
  <si>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</si>
  <si>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</si>
  <si>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</si>
  <si>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</si>
  <si>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</si>
  <si>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</si>
  <si>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</si>
  <si>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</si>
  <si>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</si>
  <si>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</si>
  <si>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</si>
  <si>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</si>
  <si>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</si>
  <si>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</si>
  <si>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</si>
  <si>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</si>
  <si>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</si>
  <si>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</si>
  <si>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</si>
  <si>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</si>
  <si>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</si>
  <si>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</si>
  <si>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</si>
  <si>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</si>
  <si>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</si>
  <si>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</si>
  <si>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</si>
  <si>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</si>
  <si>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</si>
  <si>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</si>
  <si>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</si>
  <si>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</si>
  <si>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</si>
  <si>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</si>
  <si>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</si>
  <si>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</si>
  <si>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</si>
  <si>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</si>
  <si>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</si>
  <si>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</si>
  <si>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</si>
  <si>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</si>
  <si>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</si>
  <si>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</si>
  <si>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</si>
  <si>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</si>
  <si>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</si>
  <si>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</si>
  <si>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</si>
  <si>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</si>
  <si>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</si>
  <si>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</si>
  <si>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</si>
  <si>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</si>
  <si>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</si>
  <si>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</si>
  <si>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</si>
  <si>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</si>
  <si>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</si>
  <si>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</si>
  <si>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</si>
  <si>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</si>
  <si>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</si>
  <si>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</si>
  <si>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</si>
  <si>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</si>
  <si>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</si>
  <si>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</si>
  <si>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</si>
  <si>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</si>
  <si>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</si>
  <si>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</si>
  <si>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</si>
  <si>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</si>
  <si>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</si>
  <si>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</si>
  <si>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</si>
  <si>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</si>
  <si>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</si>
  <si>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</si>
  <si>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</si>
  <si>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</si>
  <si>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</si>
  <si>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</si>
  <si>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</si>
  <si>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</si>
  <si>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</si>
  <si>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</si>
  <si>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</si>
  <si>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</si>
  <si>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</si>
  <si>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</si>
  <si>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</si>
  <si>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</si>
  <si>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</si>
  <si>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</si>
  <si>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</si>
  <si>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</si>
  <si>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</si>
  <si>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</si>
  <si>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</si>
  <si>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</si>
  <si>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</si>
  <si>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</si>
  <si>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</si>
  <si>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</si>
  <si>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</si>
  <si>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</si>
  <si>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</si>
  <si>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</si>
  <si>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</si>
  <si>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</si>
  <si>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</si>
  <si>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</si>
  <si>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</si>
  <si>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</si>
  <si>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</si>
  <si>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</si>
  <si>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</si>
  <si>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</si>
  <si>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</si>
  <si>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</si>
  <si>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</si>
  <si>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</si>
  <si>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</si>
  <si>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</si>
  <si>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</si>
  <si>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</si>
  <si>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</si>
  <si>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</si>
  <si>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</si>
  <si>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</si>
  <si>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</si>
  <si>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</si>
  <si>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</si>
  <si>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</si>
  <si>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</si>
  <si>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</si>
  <si>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</si>
  <si>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</si>
  <si>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</si>
  <si>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</si>
  <si>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</si>
  <si>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</si>
  <si>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</si>
  <si>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</si>
  <si>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</si>
  <si>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</si>
  <si>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</si>
  <si>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</si>
  <si>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</si>
  <si>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</si>
  <si>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</si>
  <si>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</si>
  <si>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</si>
  <si>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</si>
  <si>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</si>
  <si>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</si>
  <si>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</si>
  <si>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</si>
  <si>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</si>
  <si>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</si>
  <si>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</si>
  <si>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</si>
  <si>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</si>
  <si>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</si>
  <si>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</si>
  <si>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</si>
  <si>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</si>
  <si>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</si>
  <si>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</si>
  <si>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</si>
  <si>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</si>
  <si>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</si>
  <si>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</si>
  <si>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</si>
  <si>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</si>
  <si>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</si>
  <si>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</si>
  <si>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</si>
  <si>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</si>
  <si>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</si>
  <si>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</si>
  <si>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</si>
  <si>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</si>
  <si>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</si>
  <si>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</si>
  <si>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</si>
  <si>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</si>
  <si>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</si>
  <si>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</si>
  <si>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</si>
  <si>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</si>
  <si>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</si>
  <si>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</si>
  <si>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</si>
  <si>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</si>
  <si>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</si>
  <si>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</si>
  <si>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</si>
  <si>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</si>
  <si>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</si>
  <si>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</si>
  <si>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</si>
  <si>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</si>
  <si>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</si>
  <si>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</si>
  <si>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</si>
  <si>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</si>
  <si>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</si>
  <si>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</si>
  <si>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</si>
  <si>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</si>
  <si>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</si>
  <si>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</si>
  <si>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</si>
  <si>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</si>
  <si>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</si>
  <si>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</si>
  <si>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</si>
  <si>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</si>
  <si>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</si>
  <si>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</si>
  <si>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</si>
  <si>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</si>
  <si>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</si>
  <si>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</si>
  <si>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</si>
  <si>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</si>
  <si>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</si>
  <si>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</si>
  <si>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</si>
  <si>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</si>
  <si>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</si>
  <si>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</si>
  <si>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</si>
  <si>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</si>
  <si>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</si>
  <si>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</si>
  <si>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</si>
  <si>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</si>
  <si>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</si>
  <si>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</si>
  <si>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</si>
  <si>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</si>
  <si>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</si>
  <si>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</si>
  <si>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</si>
  <si>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</si>
  <si>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</si>
  <si>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</si>
  <si>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</si>
  <si>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</si>
  <si>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</si>
  <si>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</si>
  <si>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</si>
  <si>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</si>
  <si>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</si>
  <si>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</si>
  <si>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</si>
  <si>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</si>
  <si>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</si>
  <si>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</si>
  <si>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</si>
  <si>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</si>
  <si>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</si>
  <si>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</si>
  <si>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</si>
  <si>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</si>
  <si>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</si>
  <si>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</si>
  <si>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</si>
  <si>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</si>
  <si>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</si>
  <si>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</si>
  <si>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</si>
  <si>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</si>
  <si>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</si>
  <si>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</si>
  <si>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</si>
  <si>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</si>
  <si>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</si>
  <si>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</si>
  <si>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</si>
  <si>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</si>
  <si>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</si>
  <si>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</si>
  <si>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</si>
  <si>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</si>
  <si>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</si>
  <si>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</si>
  <si>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</si>
  <si>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</si>
  <si>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</si>
  <si>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</si>
  <si>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</si>
  <si>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</si>
  <si>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</si>
  <si>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</si>
  <si>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</si>
  <si>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</si>
  <si>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</si>
  <si>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</si>
  <si>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</si>
  <si>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</si>
  <si>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</si>
  <si>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</si>
  <si>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</si>
  <si>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</si>
  <si>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</si>
  <si>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</si>
  <si>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</si>
  <si>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</si>
  <si>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</si>
  <si>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</si>
  <si>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</si>
  <si>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</si>
  <si>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</si>
  <si>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</si>
  <si>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</si>
  <si>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</si>
  <si>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</si>
  <si>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</si>
  <si>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</si>
  <si>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</si>
  <si>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</si>
  <si>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</si>
  <si>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</si>
  <si>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</si>
  <si>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</si>
  <si>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</si>
  <si>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</si>
  <si>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</si>
  <si>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</si>
  <si>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</si>
  <si>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</si>
  <si>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</si>
  <si>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</si>
  <si>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</si>
  <si>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</si>
  <si>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</si>
  <si>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</si>
  <si>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</si>
  <si>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</si>
  <si>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</si>
  <si>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</si>
  <si>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</si>
  <si>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</si>
  <si>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</si>
  <si>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</si>
  <si>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</si>
  <si>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</si>
  <si>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</si>
  <si>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</si>
  <si>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</si>
  <si>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</si>
  <si>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</si>
  <si>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</si>
  <si>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</si>
  <si>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</si>
  <si>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</si>
  <si>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</si>
  <si>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</si>
  <si>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</si>
  <si>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</si>
  <si>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</si>
  <si>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</si>
  <si>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</si>
  <si>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</si>
  <si>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</si>
  <si>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</si>
  <si>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</si>
  <si>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</si>
  <si>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</si>
  <si>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</si>
  <si>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</si>
  <si>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</si>
  <si>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</si>
  <si>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</si>
  <si>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</si>
  <si>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</si>
  <si>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</si>
  <si>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</si>
  <si>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</si>
  <si>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</si>
  <si>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</si>
  <si>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</si>
  <si>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</si>
  <si>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</si>
  <si>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</si>
  <si>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</si>
  <si>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</si>
  <si>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</si>
  <si>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</si>
  <si>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</si>
  <si>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</si>
  <si>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</si>
  <si>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</si>
  <si>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</si>
  <si>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</si>
  <si>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</si>
  <si>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</si>
  <si>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</si>
  <si>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</si>
  <si>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</si>
  <si>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</si>
  <si>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</si>
  <si>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</si>
  <si>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</si>
  <si>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</si>
  <si>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</si>
  <si>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</si>
  <si>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</si>
  <si>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</si>
  <si>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</si>
  <si>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</si>
  <si>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</si>
  <si>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</si>
  <si>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</si>
  <si>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</si>
  <si>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</si>
  <si>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</si>
  <si>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</si>
  <si>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</si>
  <si>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</si>
  <si>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</si>
  <si>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</si>
  <si>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</si>
  <si>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</si>
  <si>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</si>
  <si>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</si>
  <si>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</si>
  <si>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</si>
  <si>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</si>
  <si>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</si>
  <si>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</si>
  <si>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</si>
  <si>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</si>
  <si>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</si>
  <si>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</si>
  <si>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</si>
  <si>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</si>
  <si>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</si>
  <si>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</si>
  <si>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</si>
  <si>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</si>
  <si>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</si>
  <si>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</si>
  <si>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</si>
  <si>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</si>
  <si>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</si>
  <si>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</si>
  <si>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</si>
  <si>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</si>
  <si>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</si>
  <si>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</si>
  <si>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</si>
  <si>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</si>
  <si>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</si>
  <si>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</si>
  <si>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</si>
  <si>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</si>
  <si>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</si>
  <si>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</si>
  <si>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</si>
  <si>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</si>
  <si>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</si>
  <si>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</si>
  <si>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</si>
  <si>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</si>
  <si>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</si>
  <si>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</si>
  <si>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</si>
  <si>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</si>
  <si>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</si>
  <si>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</si>
  <si>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</si>
  <si>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</si>
  <si>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</si>
  <si>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</si>
  <si>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</si>
  <si>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</si>
  <si>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</si>
  <si>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</si>
  <si>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</si>
  <si>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</si>
  <si>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</si>
  <si>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</si>
  <si>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</si>
  <si>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</si>
  <si>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</si>
  <si>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</si>
  <si>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</si>
  <si>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</si>
  <si>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</si>
  <si>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</si>
  <si>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</si>
  <si>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</si>
  <si>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</si>
  <si>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</si>
  <si>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</si>
  <si>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</si>
  <si>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</si>
  <si>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</si>
  <si>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</si>
  <si>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</si>
  <si>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</si>
  <si>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</si>
  <si>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</si>
  <si>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</si>
  <si>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</si>
  <si>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</si>
  <si>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</si>
  <si>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</si>
  <si>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</si>
  <si>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</si>
  <si>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</si>
  <si>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</si>
  <si>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</si>
  <si>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</si>
  <si>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</si>
  <si>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</si>
  <si>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</si>
  <si>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</si>
  <si>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</si>
  <si>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</si>
  <si>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</si>
  <si>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</si>
  <si>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</si>
  <si>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</si>
  <si>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</si>
  <si>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</si>
  <si>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</si>
  <si>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</si>
  <si>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</si>
  <si>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</si>
  <si>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</si>
  <si>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</si>
  <si>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</si>
  <si>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</si>
  <si>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</si>
  <si>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</si>
  <si>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</si>
  <si>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</si>
  <si>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</si>
  <si>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</si>
  <si>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</si>
  <si>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</si>
  <si>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</si>
  <si>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</si>
  <si>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</si>
  <si>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</si>
  <si>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</si>
  <si>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</si>
  <si>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</si>
  <si>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</si>
  <si>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</si>
  <si>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</si>
  <si>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</si>
  <si>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</si>
  <si>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</si>
  <si>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</si>
  <si>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</si>
  <si>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</si>
  <si>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</si>
  <si>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</si>
  <si>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</si>
  <si>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</si>
  <si>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</si>
  <si>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</si>
  <si>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</si>
  <si>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</si>
  <si>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</si>
  <si>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</si>
  <si>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</si>
  <si>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</si>
  <si>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</si>
  <si>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</si>
  <si>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</si>
  <si>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</si>
  <si>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</si>
  <si>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</si>
  <si>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</si>
  <si>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</si>
  <si>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</si>
  <si>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</si>
  <si>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</si>
  <si>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</si>
  <si>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</si>
  <si>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</si>
  <si>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</si>
  <si>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</si>
  <si>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</si>
  <si>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</si>
  <si>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</si>
  <si>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</si>
  <si>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</si>
  <si>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</si>
  <si>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</si>
  <si>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</si>
  <si>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</si>
  <si>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</si>
  <si>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</si>
  <si>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</si>
  <si>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</si>
  <si>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</si>
  <si>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</si>
  <si>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</si>
  <si>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</si>
  <si>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</si>
  <si>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</si>
  <si>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</si>
  <si>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</si>
  <si>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</si>
  <si>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</si>
  <si>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</si>
  <si>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</si>
  <si>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</si>
  <si>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</si>
  <si>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</si>
  <si>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</si>
  <si>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</si>
  <si>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</si>
  <si>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</si>
  <si>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</si>
  <si>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</si>
  <si>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</si>
  <si>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</si>
  <si>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</si>
  <si>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</si>
  <si>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</si>
  <si>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</si>
  <si>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</si>
  <si>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</si>
  <si>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</si>
  <si>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</si>
  <si>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</si>
  <si>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</si>
  <si>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</si>
  <si>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</si>
  <si>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</si>
  <si>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</si>
  <si>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</si>
  <si>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</si>
  <si>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</si>
  <si>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</si>
  <si>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</si>
  <si>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</si>
  <si>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</si>
  <si>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</si>
  <si>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</si>
  <si>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</si>
  <si>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</si>
  <si>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</si>
  <si>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</si>
  <si>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</si>
  <si>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</si>
  <si>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</si>
  <si>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</si>
  <si>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</si>
  <si>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</si>
  <si>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</si>
  <si>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</si>
  <si>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</si>
  <si>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</si>
  <si>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</si>
  <si>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</si>
  <si>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</si>
  <si>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</si>
  <si>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</si>
  <si>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</si>
  <si>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</si>
  <si>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</si>
  <si>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</si>
  <si>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</si>
  <si>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</si>
  <si>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</si>
  <si>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</si>
  <si>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</si>
  <si>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</si>
  <si>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</si>
  <si>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</si>
  <si>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</si>
  <si>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</si>
  <si>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</si>
  <si>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</si>
  <si>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</si>
  <si>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</si>
  <si>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</si>
  <si>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</si>
  <si>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</si>
  <si>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</si>
  <si>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</si>
  <si>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</si>
  <si>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</si>
  <si>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</si>
  <si>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</si>
  <si>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</si>
  <si>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</si>
  <si>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</si>
  <si>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</si>
  <si>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</si>
  <si>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</si>
  <si>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</si>
  <si>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</si>
  <si>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</si>
  <si>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</si>
  <si>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</si>
  <si>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</si>
  <si>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</si>
  <si>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</si>
  <si>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</si>
  <si>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</si>
  <si>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</si>
  <si>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</si>
  <si>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</si>
  <si>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</si>
  <si>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</si>
  <si>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</si>
  <si>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</si>
  <si>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</si>
  <si>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</si>
  <si>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</si>
  <si>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</si>
  <si>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</si>
  <si>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</si>
  <si>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</si>
  <si>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</si>
  <si>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</si>
  <si>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</si>
  <si>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</si>
  <si>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</si>
  <si>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</si>
  <si>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</si>
  <si>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</si>
  <si>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</si>
  <si>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</si>
  <si>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</si>
  <si>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</si>
  <si>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</si>
  <si>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</si>
  <si>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</si>
  <si>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</si>
  <si>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</si>
  <si>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</si>
  <si>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</si>
  <si>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</si>
  <si>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</si>
  <si>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</si>
  <si>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</si>
  <si>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</si>
  <si>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</si>
  <si>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</si>
  <si>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</si>
  <si>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</si>
  <si>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</si>
  <si>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</si>
  <si>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</si>
  <si>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</si>
  <si>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</si>
  <si>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</si>
  <si>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</si>
  <si>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</si>
  <si>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</si>
  <si>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</si>
  <si>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</si>
  <si>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</si>
  <si>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</si>
  <si>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</si>
  <si>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</si>
  <si>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</si>
  <si>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</si>
  <si>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</si>
  <si>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</si>
  <si>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</si>
  <si>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</si>
  <si>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</si>
  <si>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</si>
  <si>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</si>
  <si>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</si>
  <si>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</si>
  <si>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</si>
  <si>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</si>
  <si>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</si>
  <si>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</si>
  <si>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</si>
  <si>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</si>
  <si>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</si>
  <si>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</si>
  <si>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</si>
  <si>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</si>
  <si>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</si>
  <si>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</si>
  <si>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</si>
  <si>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</si>
  <si>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</si>
  <si>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</si>
  <si>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</si>
  <si>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</si>
  <si>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</si>
  <si>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</si>
  <si>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</si>
  <si>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</si>
  <si>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</si>
  <si>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</si>
  <si>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</si>
  <si>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</si>
  <si>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</si>
  <si>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</si>
  <si>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</si>
  <si>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</si>
  <si>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</si>
  <si>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</si>
  <si>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</si>
  <si>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</si>
  <si>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</si>
  <si>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</si>
  <si>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</si>
  <si>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</si>
  <si>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</si>
  <si>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</si>
  <si>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</si>
  <si>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</si>
  <si>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</si>
  <si>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</si>
  <si>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</si>
  <si>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</si>
  <si>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</si>
  <si>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</si>
  <si>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</si>
  <si>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</si>
  <si>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</si>
  <si>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</si>
  <si>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</si>
  <si>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</si>
  <si>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</si>
  <si>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</si>
  <si>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</si>
  <si>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</si>
  <si>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</si>
  <si>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</si>
  <si>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</si>
  <si>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</si>
  <si>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</si>
  <si>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</si>
  <si>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</si>
  <si>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</si>
  <si>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</si>
  <si>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</si>
  <si>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</si>
  <si>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</si>
  <si>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</si>
  <si>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</si>
  <si>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</si>
  <si>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</si>
  <si>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</si>
  <si>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</si>
  <si>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</si>
  <si>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</si>
  <si>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</si>
  <si>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</si>
  <si>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</si>
  <si>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</si>
  <si>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</si>
  <si>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</si>
  <si>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</si>
  <si>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</si>
  <si>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</si>
  <si>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</si>
  <si>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</si>
  <si>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</si>
  <si>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</si>
  <si>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</si>
  <si>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</si>
  <si>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</si>
  <si>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</si>
  <si>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</si>
  <si>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</si>
  <si>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</si>
  <si>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</si>
  <si>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</si>
  <si>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</si>
  <si>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</si>
  <si>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</si>
  <si>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</si>
  <si>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</si>
  <si>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</si>
  <si>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</si>
  <si>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</si>
  <si>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</si>
  <si>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</si>
  <si>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</si>
  <si>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</si>
  <si>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</si>
  <si>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</si>
  <si>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</si>
  <si>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</si>
  <si>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</si>
  <si>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</si>
  <si>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</si>
  <si>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</si>
  <si>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</si>
  <si>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</si>
  <si>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</si>
  <si>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</si>
  <si>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</si>
  <si>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</si>
  <si>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</si>
  <si>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</si>
  <si>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</si>
  <si>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</si>
  <si>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</si>
  <si>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</si>
  <si>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</si>
  <si>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</si>
  <si>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</si>
  <si>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</si>
  <si>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</si>
  <si>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</si>
  <si>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</si>
  <si>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</si>
  <si>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</si>
  <si>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</si>
  <si>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</si>
  <si>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</si>
  <si>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</si>
  <si>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</si>
  <si>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</si>
  <si>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</si>
  <si>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</si>
  <si>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</si>
  <si>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</si>
  <si>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</si>
  <si>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</si>
  <si>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</si>
  <si>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</si>
  <si>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</si>
  <si>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</si>
  <si>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</si>
  <si>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</si>
  <si>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</si>
  <si>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</si>
  <si>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</si>
  <si>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</si>
  <si>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</si>
  <si>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</si>
  <si>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</si>
  <si>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</si>
  <si>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</si>
  <si>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</si>
  <si>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</si>
  <si>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</si>
  <si>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</si>
  <si>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</si>
  <si>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</si>
  <si>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</si>
  <si>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</si>
  <si>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</si>
  <si>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</si>
  <si>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</si>
  <si>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</si>
  <si>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</si>
  <si>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</si>
  <si>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</si>
  <si>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</si>
  <si>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</si>
  <si>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</si>
  <si>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</si>
  <si>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</si>
  <si>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</si>
  <si>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</si>
  <si>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</si>
  <si>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</si>
  <si>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</si>
  <si>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</si>
  <si>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</si>
  <si>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</si>
  <si>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</si>
  <si>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</si>
  <si>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</si>
  <si>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</si>
  <si>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</si>
  <si>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</si>
  <si>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</si>
  <si>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</si>
  <si>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</si>
  <si>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</si>
  <si>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</si>
  <si>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</si>
  <si>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</si>
  <si>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</si>
  <si>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</si>
  <si>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</si>
  <si>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</si>
  <si>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</si>
  <si>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</si>
  <si>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</si>
  <si>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</si>
  <si>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</si>
  <si>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</si>
  <si>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</si>
  <si>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</si>
  <si>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</si>
  <si>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</si>
  <si>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</si>
  <si>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</si>
  <si>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</si>
  <si>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</si>
  <si>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</si>
  <si>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</si>
  <si>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</si>
  <si>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</si>
  <si>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</si>
  <si>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</si>
  <si>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</si>
  <si>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</si>
  <si>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</si>
  <si>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</si>
  <si>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</si>
  <si>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</si>
  <si>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</si>
  <si>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</si>
  <si>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</si>
  <si>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</si>
  <si>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</si>
  <si>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</si>
  <si>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</si>
  <si>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</si>
  <si>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</si>
  <si>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</si>
  <si>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</si>
  <si>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</si>
  <si>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</si>
  <si>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</si>
  <si>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</si>
  <si>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</si>
  <si>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</si>
  <si>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</si>
  <si>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</si>
  <si>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</si>
  <si>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</si>
  <si>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</si>
  <si>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</si>
  <si>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</si>
  <si>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</si>
  <si>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</si>
  <si>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</si>
  <si>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</si>
  <si>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</si>
  <si>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</si>
  <si>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</si>
  <si>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</si>
  <si>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</si>
  <si>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</si>
  <si>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</si>
  <si>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</si>
  <si>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</si>
  <si>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</si>
  <si>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</si>
  <si>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</si>
  <si>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</si>
  <si>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</si>
  <si>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</si>
  <si>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</si>
  <si>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</si>
  <si>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</si>
  <si>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</si>
  <si>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</si>
  <si>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</si>
  <si>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</si>
  <si>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</si>
  <si>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</si>
  <si>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</si>
  <si>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</si>
  <si>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</si>
  <si>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</si>
  <si>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</si>
  <si>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</si>
  <si>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</si>
  <si>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</si>
  <si>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</si>
  <si>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</si>
  <si>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</si>
  <si>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</si>
  <si>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</si>
  <si>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</si>
  <si>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</si>
  <si>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</si>
  <si>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</si>
  <si>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</si>
  <si>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</si>
  <si>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</si>
  <si>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</si>
  <si>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</si>
  <si>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</si>
  <si>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</si>
  <si>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</si>
  <si>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</si>
  <si>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</si>
  <si>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</si>
  <si>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</si>
  <si>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</si>
  <si>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</si>
  <si>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</si>
  <si>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</si>
  <si>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</si>
  <si>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</si>
  <si>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</si>
  <si>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</si>
  <si>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</si>
  <si>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</si>
  <si>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</si>
  <si>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</si>
  <si>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</si>
  <si>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</si>
  <si>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</si>
  <si>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</si>
  <si>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</si>
  <si>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</si>
  <si>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</si>
  <si>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</si>
  <si>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</si>
  <si>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</si>
  <si>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</si>
  <si>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</si>
  <si>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</si>
  <si>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</si>
  <si>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</si>
  <si>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</si>
  <si>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</si>
  <si>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</si>
  <si>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</si>
  <si>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</si>
  <si>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</si>
  <si>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</si>
  <si>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</si>
  <si>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</si>
  <si>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</si>
  <si>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</si>
  <si>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</si>
  <si>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</si>
  <si>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</si>
  <si>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</si>
  <si>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</si>
  <si>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</si>
  <si>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</si>
  <si>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</si>
  <si>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</si>
  <si>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</si>
  <si>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</si>
  <si>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</si>
  <si>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</si>
  <si>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</si>
  <si>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</si>
  <si>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</si>
  <si>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</si>
  <si>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</si>
  <si>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</si>
  <si>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</si>
  <si>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</si>
  <si>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</si>
  <si>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</si>
  <si>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</si>
  <si>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</si>
  <si>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</si>
  <si>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</si>
  <si>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</si>
  <si>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</si>
  <si>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</si>
  <si>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</si>
  <si>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</si>
  <si>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</si>
  <si>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</si>
  <si>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</si>
  <si>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</si>
  <si>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</si>
  <si>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</si>
  <si>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</si>
  <si>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</si>
  <si>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</si>
  <si>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</si>
  <si>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</si>
  <si>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</si>
  <si>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</si>
  <si>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</si>
  <si>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</si>
  <si>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</si>
  <si>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</si>
  <si>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</si>
  <si>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</si>
  <si>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</si>
  <si>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</si>
  <si>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</si>
  <si>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</si>
  <si>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</si>
  <si>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</si>
  <si>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</si>
  <si>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</si>
  <si>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</si>
  <si>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</si>
  <si>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</si>
  <si>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</si>
  <si>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</si>
  <si>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</si>
  <si>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</si>
  <si>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</si>
  <si>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</si>
  <si>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</si>
  <si>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</si>
  <si>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</si>
  <si>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</si>
  <si>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</si>
  <si>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</si>
  <si>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</si>
  <si>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</si>
  <si>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</si>
  <si>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</si>
  <si>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</si>
  <si>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</si>
  <si>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</si>
  <si>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</si>
  <si>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</si>
  <si>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</si>
  <si>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</si>
  <si>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</si>
  <si>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</si>
  <si>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</si>
  <si>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</si>
  <si>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</si>
  <si>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</si>
  <si>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</si>
  <si>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 Value</t>
  </si>
  <si>
    <t>Maximum Value</t>
  </si>
  <si>
    <t>Failed</t>
  </si>
  <si>
    <t>Variance (Population)</t>
  </si>
  <si>
    <t>Standard Deviation (Population)</t>
  </si>
  <si>
    <t>Variance (Sample)</t>
  </si>
  <si>
    <t>Standard Deviation (Sample)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</si>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</sst>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2" applyNumberFormat="1" applyFon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2" applyFont="1"/>
    <xf numFmtId="0" fontId="0" fillId="0" borderId="1" xfId="0" applyBorder="1"/>
    <xf numFmtId="0" fontId="1" fillId="0" borderId="1" xfId="0" applyFont="1" applyBorder="1"/>
    <xf numFmtId="2" fontId="0" fillId="0" borderId="1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51"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Parent-Category!PivotTable1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State vs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Parent-Category'!$B$3:$B$4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9-4911-878B-8057CF00F372}"/>
            </c:ext>
          </c:extLst>
        </c:ser>
        <c:ser>
          <c:idx val="1"/>
          <c:order val="1"/>
          <c:tx>
            <c:strRef>
              <c:f>'State vs Parent-Category'!$C$3:$C$4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9-4911-878B-8057CF00F372}"/>
            </c:ext>
          </c:extLst>
        </c:ser>
        <c:ser>
          <c:idx val="2"/>
          <c:order val="2"/>
          <c:tx>
            <c:strRef>
              <c:f>'State vs Parent-Category'!$D$3:$D$4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09-4911-878B-8057CF00F372}"/>
            </c:ext>
          </c:extLst>
        </c:ser>
        <c:ser>
          <c:idx val="3"/>
          <c:order val="3"/>
          <c:tx>
            <c:strRef>
              <c:f>'State vs Parent-Category'!$E$3:$E$4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48-4AEA-A4C1-7E3C38F4E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29680480"/>
        <c:axId val="529683760"/>
      </c:barChart>
      <c:catAx>
        <c:axId val="52968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83760"/>
        <c:crosses val="autoZero"/>
        <c:auto val="1"/>
        <c:lblAlgn val="ctr"/>
        <c:lblOffset val="100"/>
        <c:noMultiLvlLbl val="0"/>
      </c:catAx>
      <c:valAx>
        <c:axId val="5296837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804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vs,</a:t>
            </a:r>
            <a:r>
              <a:rPr lang="en-US" baseline="0"/>
              <a:t> </a:t>
            </a:r>
            <a:r>
              <a:rPr lang="en-US"/>
              <a:t>Sub-Category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3009252912273171E-2"/>
          <c:y val="0.16942761962447001"/>
          <c:w val="0.94437404257094659"/>
          <c:h val="0.641393408383633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vs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3-4A2E-B0A8-08C6DA26D981}"/>
            </c:ext>
          </c:extLst>
        </c:ser>
        <c:ser>
          <c:idx val="1"/>
          <c:order val="1"/>
          <c:tx>
            <c:strRef>
              <c:f>'State vs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3-4A2E-B0A8-08C6DA26D981}"/>
            </c:ext>
          </c:extLst>
        </c:ser>
        <c:ser>
          <c:idx val="2"/>
          <c:order val="2"/>
          <c:tx>
            <c:strRef>
              <c:f>'State vs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A3-4A2E-B0A8-08C6DA26D981}"/>
            </c:ext>
          </c:extLst>
        </c:ser>
        <c:ser>
          <c:idx val="3"/>
          <c:order val="3"/>
          <c:tx>
            <c:strRef>
              <c:f>'State vs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A3-4A2E-B0A8-08C6DA26D98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783120"/>
        <c:axId val="526784104"/>
      </c:barChart>
      <c:catAx>
        <c:axId val="52678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84104"/>
        <c:crosses val="autoZero"/>
        <c:auto val="1"/>
        <c:lblAlgn val="ctr"/>
        <c:lblOffset val="100"/>
        <c:noMultiLvlLbl val="0"/>
      </c:catAx>
      <c:valAx>
        <c:axId val="52678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Months!PivotTable3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vs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8-49A4-B33A-0F7D698BA4C3}"/>
            </c:ext>
          </c:extLst>
        </c:ser>
        <c:ser>
          <c:idx val="1"/>
          <c:order val="1"/>
          <c:tx>
            <c:strRef>
              <c:f>'State vs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38-49A4-B33A-0F7D698BA4C3}"/>
            </c:ext>
          </c:extLst>
        </c:ser>
        <c:ser>
          <c:idx val="2"/>
          <c:order val="2"/>
          <c:tx>
            <c:strRef>
              <c:f>'State vs 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38-49A4-B33A-0F7D698BA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678184"/>
        <c:axId val="529679496"/>
      </c:lineChart>
      <c:catAx>
        <c:axId val="52967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9496"/>
        <c:crosses val="autoZero"/>
        <c:auto val="1"/>
        <c:lblAlgn val="ctr"/>
        <c:lblOffset val="100"/>
        <c:noMultiLvlLbl val="0"/>
      </c:catAx>
      <c:valAx>
        <c:axId val="52967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</a:t>
            </a:r>
            <a:r>
              <a:rPr lang="en-CA" baseline="0"/>
              <a:t> State by Percentage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vs Funding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vs Funding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vs Funding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6-4B17-9E9E-AFFB7AB3D26F}"/>
            </c:ext>
          </c:extLst>
        </c:ser>
        <c:ser>
          <c:idx val="1"/>
          <c:order val="1"/>
          <c:tx>
            <c:strRef>
              <c:f>'State vs Funding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'State vs Funding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vs Funding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A6-4B17-9E9E-AFFB7AB3D26F}"/>
            </c:ext>
          </c:extLst>
        </c:ser>
        <c:ser>
          <c:idx val="2"/>
          <c:order val="2"/>
          <c:tx>
            <c:strRef>
              <c:f>'State vs Funding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vs Funding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vs Funding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A6-4B17-9E9E-AFFB7AB3D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572624"/>
        <c:axId val="598570328"/>
      </c:lineChart>
      <c:catAx>
        <c:axId val="59857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70328"/>
        <c:crosses val="autoZero"/>
        <c:auto val="1"/>
        <c:lblAlgn val="ctr"/>
        <c:lblOffset val="100"/>
        <c:noMultiLvlLbl val="0"/>
      </c:catAx>
      <c:valAx>
        <c:axId val="59857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7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4</xdr:row>
      <xdr:rowOff>91440</xdr:rowOff>
    </xdr:from>
    <xdr:to>
      <xdr:col>20</xdr:col>
      <xdr:colOff>403860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50323-D0EC-4D8F-B84B-65B13312C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7</xdr:row>
      <xdr:rowOff>167640</xdr:rowOff>
    </xdr:from>
    <xdr:to>
      <xdr:col>23</xdr:col>
      <xdr:colOff>426720</xdr:colOff>
      <xdr:row>45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7CBE9-8B52-4DF4-BB8A-92EDDF569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152400</xdr:rowOff>
    </xdr:from>
    <xdr:to>
      <xdr:col>13</xdr:col>
      <xdr:colOff>350520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903CB-5CBB-423A-B900-408FEABEB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15</xdr:row>
      <xdr:rowOff>114300</xdr:rowOff>
    </xdr:from>
    <xdr:to>
      <xdr:col>4</xdr:col>
      <xdr:colOff>251460</xdr:colOff>
      <xdr:row>35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C4B0C-0D36-4877-B556-F5E6C15FB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" refreshedDate="44095.537733101854" createdVersion="6" refreshedVersion="6" minRefreshableVersion="3" recordCount="4114" xr:uid="{CDAFE78B-D3DE-46AA-AA29-2118E6CD2A64}">
  <cacheSource type="worksheet">
    <worksheetSource ref="A1:R4115" sheet="Campaign Detail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" refreshedDate="44095.546338310189" createdVersion="6" refreshedVersion="6" minRefreshableVersion="3" recordCount="4114" xr:uid="{4D8CF9BF-D169-4968-BA48-7C4C7B2DA71C}">
  <cacheSource type="worksheet">
    <worksheetSource ref="A1:T4115" sheet="Campaign Detail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x v="106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x v="185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x v="190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x v="202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x v="217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x v="221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x v="465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x v="490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x v="497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x v="578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x v="589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x v="635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x v="659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x v="684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x v="717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x v="806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x v="833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x v="836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x v="847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x v="919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x v="1049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x v="1084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x v="1086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x v="1128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x v="1172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x v="1236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x v="1378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x v="1393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x v="1395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x v="1456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x v="1464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x v="1484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x v="1569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x v="1702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x v="1718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x v="1824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x v="1826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x v="1834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x v="1917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x v="1988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x v="2099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x v="2127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x v="2147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x v="2506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x v="2528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x v="2654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x v="2658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x v="2679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x v="2725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x v="2748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x v="2806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x v="2832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x v="2863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x v="2892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x v="2893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x v="2988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x v="2992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x v="3060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x v="3107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x v="3121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x v="3124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x v="3270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x v="3284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x v="3301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x v="3465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x v="3584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x v="3856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x v="3863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x v="3998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x v="4080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90AD7-ADBB-4E02-AFA2-2388014D17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1ADBA-83A0-4E38-9B2F-7ED68513E32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E99E3-167B-45CC-B7DD-B7DFFB362A5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B15" sqref="B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25.441406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44140625" style="7" customWidth="1"/>
    <col min="16" max="16" width="22.77734375" customWidth="1"/>
    <col min="17" max="17" width="21.77734375" customWidth="1"/>
    <col min="18" max="18" width="23.88671875" customWidth="1"/>
    <col min="19" max="19" width="36.33203125" style="13" customWidth="1"/>
    <col min="20" max="20" width="36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8308</v>
      </c>
      <c r="S1" s="12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IFERROR(E2/L2,0)</f>
        <v>63.917582417582416</v>
      </c>
      <c r="Q2" t="str">
        <f>LEFT(N2,(FIND("/",N2,1)-1))</f>
        <v>film &amp; video</v>
      </c>
      <c r="R2" t="str">
        <f>MID(N2,FIND("/",N2)+1,256)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 s="8">
        <f t="shared" ref="P3:P66" si="0">IFERROR(E3/L3,0)</f>
        <v>185.48101265822785</v>
      </c>
      <c r="Q3" t="str">
        <f t="shared" ref="Q3:Q66" si="1">LEFT(N3,(FIND("/",N3,1)-1))</f>
        <v>film &amp; video</v>
      </c>
      <c r="R3" t="str">
        <f t="shared" ref="R3:R66" si="2">MID(N3,FIND("/",N3)+1,256)</f>
        <v>television</v>
      </c>
      <c r="S3" s="13">
        <f t="shared" ref="S3:S66" si="3">(((J3/60)/60)/24)+DATE(1970,1,1)</f>
        <v>42766.600497685184</v>
      </c>
      <c r="T3" s="13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6" si="5">E4/D4*100</f>
        <v>105</v>
      </c>
      <c r="P4" s="8">
        <f t="shared" si="0"/>
        <v>15</v>
      </c>
      <c r="Q4" t="str">
        <f t="shared" si="1"/>
        <v>film &amp; video</v>
      </c>
      <c r="R4" t="str">
        <f t="shared" si="2"/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5"/>
        <v>103.89999999999999</v>
      </c>
      <c r="P5" s="8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5"/>
        <v>122.99154545454545</v>
      </c>
      <c r="P6" s="8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5"/>
        <v>109.77744436109028</v>
      </c>
      <c r="P7" s="8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5"/>
        <v>106.4875</v>
      </c>
      <c r="P8" s="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5"/>
        <v>101.22222222222221</v>
      </c>
      <c r="P9" s="8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3">
        <f t="shared" si="3"/>
        <v>42516.047071759262</v>
      </c>
      <c r="T9" s="13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5"/>
        <v>100.04342857142856</v>
      </c>
      <c r="P10" s="8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3">
        <f t="shared" si="3"/>
        <v>42468.94458333333</v>
      </c>
      <c r="T10" s="13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5"/>
        <v>125.998</v>
      </c>
      <c r="P11" s="8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5"/>
        <v>100.49999999999999</v>
      </c>
      <c r="P12" s="8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5"/>
        <v>120.5</v>
      </c>
      <c r="P13" s="8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3">
        <f t="shared" si="3"/>
        <v>42572.778495370367</v>
      </c>
      <c r="T13" s="13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5"/>
        <v>165.29333333333335</v>
      </c>
      <c r="P14" s="8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3">
        <f t="shared" si="3"/>
        <v>41791.713252314818</v>
      </c>
      <c r="T14" s="13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5"/>
        <v>159.97142857142856</v>
      </c>
      <c r="P15" s="8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5"/>
        <v>100.93333333333334</v>
      </c>
      <c r="P16" s="8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5"/>
        <v>106.60000000000001</v>
      </c>
      <c r="P17" s="8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5"/>
        <v>100.24166666666667</v>
      </c>
      <c r="P18" s="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5"/>
        <v>100.66666666666666</v>
      </c>
      <c r="P19" s="8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5"/>
        <v>106.32110000000002</v>
      </c>
      <c r="P20" s="8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3">
        <f t="shared" si="3"/>
        <v>41869.542314814818</v>
      </c>
      <c r="T20" s="13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5"/>
        <v>145.29411764705881</v>
      </c>
      <c r="P21" s="8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5"/>
        <v>100.2</v>
      </c>
      <c r="P22" s="8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3">
        <f t="shared" si="3"/>
        <v>42200.758240740746</v>
      </c>
      <c r="T22" s="13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5"/>
        <v>109.13513513513513</v>
      </c>
      <c r="P23" s="8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5"/>
        <v>117.14285714285715</v>
      </c>
      <c r="P24" s="8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5"/>
        <v>118.5</v>
      </c>
      <c r="P25" s="8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5"/>
        <v>108.80768571428572</v>
      </c>
      <c r="P26" s="8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3">
        <f t="shared" si="3"/>
        <v>42229.820173611108</v>
      </c>
      <c r="T26" s="13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5"/>
        <v>133.33333333333331</v>
      </c>
      <c r="P27" s="8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5"/>
        <v>155.20000000000002</v>
      </c>
      <c r="P28" s="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5"/>
        <v>111.72500000000001</v>
      </c>
      <c r="P29" s="8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5"/>
        <v>100.35000000000001</v>
      </c>
      <c r="P30" s="8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5"/>
        <v>123.33333333333334</v>
      </c>
      <c r="P31" s="8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5"/>
        <v>101.29975</v>
      </c>
      <c r="P32" s="8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5"/>
        <v>100</v>
      </c>
      <c r="P33" s="8">
        <f t="shared" si="0"/>
        <v>13</v>
      </c>
      <c r="Q33" t="str">
        <f t="shared" si="1"/>
        <v>film &amp; video</v>
      </c>
      <c r="R33" t="str">
        <f t="shared" si="2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5"/>
        <v>100.24604569420035</v>
      </c>
      <c r="P34" s="8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5"/>
        <v>102.0952380952381</v>
      </c>
      <c r="P35" s="8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3">
        <f t="shared" si="3"/>
        <v>42286.660891203705</v>
      </c>
      <c r="T35" s="13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5"/>
        <v>130.46153846153845</v>
      </c>
      <c r="P36" s="8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5"/>
        <v>166.5</v>
      </c>
      <c r="P37" s="8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3">
        <f t="shared" si="3"/>
        <v>42098.291828703703</v>
      </c>
      <c r="T37" s="13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5"/>
        <v>142.15</v>
      </c>
      <c r="P38" s="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5"/>
        <v>183.44090909090909</v>
      </c>
      <c r="P39" s="8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5"/>
        <v>110.04</v>
      </c>
      <c r="P40" s="8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3">
        <f t="shared" si="3"/>
        <v>41375.057222222218</v>
      </c>
      <c r="T40" s="13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5"/>
        <v>130.98000000000002</v>
      </c>
      <c r="P41" s="8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5"/>
        <v>101.35000000000001</v>
      </c>
      <c r="P42" s="8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5"/>
        <v>100</v>
      </c>
      <c r="P43" s="8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5"/>
        <v>141.85714285714286</v>
      </c>
      <c r="P44" s="8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5"/>
        <v>308.65999999999997</v>
      </c>
      <c r="P45" s="8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3">
        <f t="shared" si="3"/>
        <v>41802.790347222224</v>
      </c>
      <c r="T45" s="13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5"/>
        <v>100</v>
      </c>
      <c r="P46" s="8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3">
        <f t="shared" si="3"/>
        <v>41874.098807870374</v>
      </c>
      <c r="T46" s="13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5"/>
        <v>120</v>
      </c>
      <c r="P47" s="8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5"/>
        <v>104.16666666666667</v>
      </c>
      <c r="P48" s="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3">
        <f t="shared" si="3"/>
        <v>42323.964976851858</v>
      </c>
      <c r="T48" s="13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5"/>
        <v>107.61100000000002</v>
      </c>
      <c r="P49" s="8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5"/>
        <v>107.94999999999999</v>
      </c>
      <c r="P50" s="8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3">
        <f t="shared" si="3"/>
        <v>42033.516898148147</v>
      </c>
      <c r="T50" s="13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5"/>
        <v>100</v>
      </c>
      <c r="P51" s="8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5"/>
        <v>100</v>
      </c>
      <c r="P52" s="8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5"/>
        <v>128.0181818181818</v>
      </c>
      <c r="P53" s="8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3">
        <f t="shared" si="3"/>
        <v>42196.928668981483</v>
      </c>
      <c r="T53" s="13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5"/>
        <v>116.21</v>
      </c>
      <c r="P54" s="8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5"/>
        <v>109.63333333333334</v>
      </c>
      <c r="P55" s="8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5"/>
        <v>101</v>
      </c>
      <c r="P56" s="8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5"/>
        <v>128.95348837209301</v>
      </c>
      <c r="P57" s="8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5"/>
        <v>107.26249999999999</v>
      </c>
      <c r="P58" s="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3">
        <f t="shared" si="3"/>
        <v>42149.548888888887</v>
      </c>
      <c r="T58" s="13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5"/>
        <v>101.89999999999999</v>
      </c>
      <c r="P59" s="8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5"/>
        <v>102.91</v>
      </c>
      <c r="P60" s="8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5"/>
        <v>100.12570000000001</v>
      </c>
      <c r="P61" s="8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3">
        <f t="shared" si="3"/>
        <v>42230.23583333334</v>
      </c>
      <c r="T61" s="13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5"/>
        <v>103.29622222222221</v>
      </c>
      <c r="P62" s="8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3">
        <f t="shared" si="3"/>
        <v>41701.901817129627</v>
      </c>
      <c r="T62" s="13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5"/>
        <v>148.30000000000001</v>
      </c>
      <c r="P63" s="8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3">
        <f t="shared" si="3"/>
        <v>41409.814317129632</v>
      </c>
      <c r="T63" s="13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5"/>
        <v>154.73333333333332</v>
      </c>
      <c r="P64" s="8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5"/>
        <v>113.51849999999999</v>
      </c>
      <c r="P65" s="8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5"/>
        <v>173.33333333333334</v>
      </c>
      <c r="P66" s="8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3">
        <f t="shared" si="3"/>
        <v>41433.01829861111</v>
      </c>
      <c r="T66" s="13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8">
        <f t="shared" ref="P67:P130" si="7">IFERROR(E67/L67,0)</f>
        <v>132.05263157894737</v>
      </c>
      <c r="Q67" t="str">
        <f t="shared" ref="Q67:Q130" si="8">LEFT(N67,(FIND("/",N67,1)-1))</f>
        <v>film &amp; video</v>
      </c>
      <c r="R67" t="str">
        <f t="shared" ref="R67:R130" si="9">MID(N67,FIND("/",N67)+1,256)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8">
        <f t="shared" ref="P131:P194" si="13">IFERROR(E131/L131,0)</f>
        <v>0</v>
      </c>
      <c r="Q131" t="str">
        <f t="shared" ref="Q131:Q194" si="14">LEFT(N131,(FIND("/",N131,1)-1))</f>
        <v>film &amp; video</v>
      </c>
      <c r="R131" t="str">
        <f t="shared" ref="R131:R194" si="15">MID(N131,FIND("/",N131)+1,256)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8">
        <f t="shared" ref="P195:P258" si="19">IFERROR(E195/L195,0)</f>
        <v>0</v>
      </c>
      <c r="Q195" t="str">
        <f t="shared" ref="Q195:Q258" si="20">LEFT(N195,(FIND("/",N195,1)-1))</f>
        <v>film &amp; video</v>
      </c>
      <c r="R195" t="str">
        <f t="shared" ref="R195:R258" si="21">MID(N195,FIND("/",N195)+1,256)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8">
        <f t="shared" ref="P259:P322" si="25">IFERROR(E259/L259,0)</f>
        <v>66.70405357142856</v>
      </c>
      <c r="Q259" t="str">
        <f t="shared" ref="Q259:Q322" si="26">LEFT(N259,(FIND("/",N259,1)-1))</f>
        <v>film &amp; video</v>
      </c>
      <c r="R259" t="str">
        <f t="shared" ref="R259:R322" si="27">MID(N259,FIND("/",N259)+1,256)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8">
        <f t="shared" ref="P323:P386" si="31">IFERROR(E323/L323,0)</f>
        <v>106.62314540059347</v>
      </c>
      <c r="Q323" t="str">
        <f t="shared" ref="Q323:Q386" si="32">LEFT(N323,(FIND("/",N323,1)-1))</f>
        <v>film &amp; video</v>
      </c>
      <c r="R323" t="str">
        <f t="shared" ref="R323:R386" si="33">MID(N323,FIND("/",N323)+1,256)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8">
        <f t="shared" ref="P387:P450" si="37">IFERROR(E387/L387,0)</f>
        <v>111.79535864978902</v>
      </c>
      <c r="Q387" t="str">
        <f t="shared" ref="Q387:Q450" si="38">LEFT(N387,(FIND("/",N387,1)-1))</f>
        <v>film &amp; video</v>
      </c>
      <c r="R387" t="str">
        <f t="shared" ref="R387:R450" si="39">MID(N387,FIND("/",N387)+1,256)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8">
        <f t="shared" ref="P451:P514" si="43">IFERROR(E451/L451,0)</f>
        <v>9</v>
      </c>
      <c r="Q451" t="str">
        <f t="shared" ref="Q451:Q514" si="44">LEFT(N451,(FIND("/",N451,1)-1))</f>
        <v>film &amp; video</v>
      </c>
      <c r="R451" t="str">
        <f t="shared" ref="R451:R514" si="45">MID(N451,FIND("/",N451)+1,256)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8">
        <f t="shared" ref="P515:P578" si="49">IFERROR(E515/L515,0)</f>
        <v>102.38235294117646</v>
      </c>
      <c r="Q515" t="str">
        <f t="shared" ref="Q515:Q578" si="50">LEFT(N515,(FIND("/",N515,1)-1))</f>
        <v>film &amp; video</v>
      </c>
      <c r="R515" t="str">
        <f t="shared" ref="R515:R578" si="51">MID(N515,FIND("/",N515)+1,256)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8">
        <f t="shared" ref="P579:P642" si="55">IFERROR(E579/L579,0)</f>
        <v>10</v>
      </c>
      <c r="Q579" t="str">
        <f t="shared" ref="Q579:Q642" si="56">LEFT(N579,(FIND("/",N579,1)-1))</f>
        <v>technology</v>
      </c>
      <c r="R579" t="str">
        <f t="shared" ref="R579:R642" si="57">MID(N579,FIND("/",N579)+1,256)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8">
        <f t="shared" ref="P643:P706" si="61">IFERROR(E643/L643,0)</f>
        <v>151.31746031746033</v>
      </c>
      <c r="Q643" t="str">
        <f t="shared" ref="Q643:Q706" si="62">LEFT(N643,(FIND("/",N643,1)-1))</f>
        <v>technology</v>
      </c>
      <c r="R643" t="str">
        <f t="shared" ref="R643:R706" si="63">MID(N643,FIND("/",N643)+1,256)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8">
        <f t="shared" ref="P707:P770" si="67">IFERROR(E707/L707,0)</f>
        <v>195.4</v>
      </c>
      <c r="Q707" t="str">
        <f t="shared" ref="Q707:Q770" si="68">LEFT(N707,(FIND("/",N707,1)-1))</f>
        <v>technology</v>
      </c>
      <c r="R707" t="str">
        <f t="shared" ref="R707:R770" si="69">MID(N707,FIND("/",N707)+1,256)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8">
        <f t="shared" ref="P771:P834" si="73">IFERROR(E771/L771,0)</f>
        <v>31.846153846153847</v>
      </c>
      <c r="Q771" t="str">
        <f t="shared" ref="Q771:Q834" si="74">LEFT(N771,(FIND("/",N771,1)-1))</f>
        <v>publishing</v>
      </c>
      <c r="R771" t="str">
        <f t="shared" ref="R771:R834" si="75">MID(N771,FIND("/",N771)+1,256)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8">
        <f t="shared" ref="P835:P898" si="79">IFERROR(E835/L835,0)</f>
        <v>148.78048780487805</v>
      </c>
      <c r="Q835" t="str">
        <f t="shared" ref="Q835:Q898" si="80">LEFT(N835,(FIND("/",N835,1)-1))</f>
        <v>music</v>
      </c>
      <c r="R835" t="str">
        <f t="shared" ref="R835:R898" si="81">MID(N835,FIND("/",N835)+1,256)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8">
        <f t="shared" ref="P899:P962" si="85">IFERROR(E899/L899,0)</f>
        <v>0</v>
      </c>
      <c r="Q899" t="str">
        <f t="shared" ref="Q899:Q962" si="86">LEFT(N899,(FIND("/",N899,1)-1))</f>
        <v>music</v>
      </c>
      <c r="R899" t="str">
        <f t="shared" ref="R899:R962" si="87">MID(N899,FIND("/",N899)+1,256)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8">
        <f t="shared" ref="P963:P1026" si="91">IFERROR(E963/L963,0)</f>
        <v>364.35454545454547</v>
      </c>
      <c r="Q963" t="str">
        <f t="shared" ref="Q963:Q1026" si="92">LEFT(N963,(FIND("/",N963,1)-1))</f>
        <v>technology</v>
      </c>
      <c r="R963" t="str">
        <f t="shared" ref="R963:R1026" si="93">MID(N963,FIND("/",N963)+1,256)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8">
        <f t="shared" ref="P1027:P1090" si="97">IFERROR(E1027/L1027,0)</f>
        <v>71.848571428571432</v>
      </c>
      <c r="Q1027" t="str">
        <f t="shared" ref="Q1027:Q1090" si="98">LEFT(N1027,(FIND("/",N1027,1)-1))</f>
        <v>music</v>
      </c>
      <c r="R1027" t="str">
        <f t="shared" ref="R1027:R1090" si="99">MID(N1027,FIND("/",N1027)+1,256)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8">
        <f t="shared" ref="P1091:P1154" si="103">IFERROR(E1091/L1091,0)</f>
        <v>23.959183673469386</v>
      </c>
      <c r="Q1091" t="str">
        <f t="shared" ref="Q1091:Q1154" si="104">LEFT(N1091,(FIND("/",N1091,1)-1))</f>
        <v>games</v>
      </c>
      <c r="R1091" t="str">
        <f t="shared" ref="R1091:R1154" si="105">MID(N1091,FIND("/",N1091)+1,256)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8">
        <f t="shared" ref="P1155:P1218" si="109">IFERROR(E1155/L1155,0)</f>
        <v>50</v>
      </c>
      <c r="Q1155" t="str">
        <f t="shared" ref="Q1155:Q1218" si="110">LEFT(N1155,(FIND("/",N1155,1)-1))</f>
        <v>food</v>
      </c>
      <c r="R1155" t="str">
        <f t="shared" ref="R1155:R1218" si="111">MID(N1155,FIND("/",N1155)+1,256)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8">
        <f t="shared" ref="P1219:P1282" si="115">IFERROR(E1219/L1219,0)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MID(N1219,FIND("/",N1219)+1,256)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8">
        <f t="shared" ref="P1283:P1346" si="121">IFERROR(E1283/L1283,0)</f>
        <v>104.72972972972973</v>
      </c>
      <c r="Q1283" t="str">
        <f t="shared" ref="Q1283:Q1346" si="122">LEFT(N1283,(FIND("/",N1283,1)-1))</f>
        <v>music</v>
      </c>
      <c r="R1283" t="str">
        <f t="shared" ref="R1283:R1346" si="123">MID(N1283,FIND("/",N1283)+1,256)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8">
        <f t="shared" ref="P1347:P1410" si="127">IFERROR(E1347/L1347,0)</f>
        <v>53.571428571428569</v>
      </c>
      <c r="Q1347" t="str">
        <f t="shared" ref="Q1347:Q1410" si="128">LEFT(N1347,(FIND("/",N1347,1)-1))</f>
        <v>publishing</v>
      </c>
      <c r="R1347" t="str">
        <f t="shared" ref="R1347:R1410" si="129">MID(N1347,FIND("/",N1347)+1,256)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8">
        <f t="shared" ref="P1411:P1474" si="133">IFERROR(E1411/L1411,0)</f>
        <v>0</v>
      </c>
      <c r="Q1411" t="str">
        <f t="shared" ref="Q1411:Q1474" si="134">LEFT(N1411,(FIND("/",N1411,1)-1))</f>
        <v>publishing</v>
      </c>
      <c r="R1411" t="str">
        <f t="shared" ref="R1411:R1474" si="135">MID(N1411,FIND("/",N1411)+1,256)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8">
        <f t="shared" ref="P1475:P1538" si="139">IFERROR(E1475/L1475,0)</f>
        <v>38.462553191489363</v>
      </c>
      <c r="Q1475" t="str">
        <f t="shared" ref="Q1475:Q1538" si="140">LEFT(N1475,(FIND("/",N1475,1)-1))</f>
        <v>publishing</v>
      </c>
      <c r="R1475" t="str">
        <f t="shared" ref="R1475:R1538" si="141">MID(N1475,FIND("/",N1475)+1,256)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8">
        <f t="shared" ref="P1539:P1602" si="145">IFERROR(E1539/L1539,0)</f>
        <v>96.375</v>
      </c>
      <c r="Q1539" t="str">
        <f t="shared" ref="Q1539:Q1602" si="146">LEFT(N1539,(FIND("/",N1539,1)-1))</f>
        <v>photography</v>
      </c>
      <c r="R1539" t="str">
        <f t="shared" ref="R1539:R1602" si="147">MID(N1539,FIND("/",N1539)+1,256)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8">
        <f t="shared" ref="P1603:P1666" si="151">IFERROR(E1603/L1603,0)</f>
        <v>48.325535714285714</v>
      </c>
      <c r="Q1603" t="str">
        <f t="shared" ref="Q1603:Q1666" si="152">LEFT(N1603,(FIND("/",N1603,1)-1))</f>
        <v>music</v>
      </c>
      <c r="R1603" t="str">
        <f t="shared" ref="R1603:R1666" si="153">MID(N1603,FIND("/",N1603)+1,256)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8">
        <f t="shared" ref="P1667:P1730" si="157">IFERROR(E1667/L1667,0)</f>
        <v>44.956989247311824</v>
      </c>
      <c r="Q1667" t="str">
        <f t="shared" ref="Q1667:Q1730" si="158">LEFT(N1667,(FIND("/",N1667,1)-1))</f>
        <v>music</v>
      </c>
      <c r="R1667" t="str">
        <f t="shared" ref="R1667:R1730" si="159">MID(N1667,FIND("/",N1667)+1,256)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8">
        <f t="shared" ref="P1731:P1794" si="163">IFERROR(E1731/L1731,0)</f>
        <v>0</v>
      </c>
      <c r="Q1731" t="str">
        <f t="shared" ref="Q1731:Q1794" si="164">LEFT(N1731,(FIND("/",N1731,1)-1))</f>
        <v>music</v>
      </c>
      <c r="R1731" t="str">
        <f t="shared" ref="R1731:R1794" si="165">MID(N1731,FIND("/",N1731)+1,256)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8">
        <f t="shared" ref="P1795:P1858" si="169">IFERROR(E1795/L1795,0)</f>
        <v>20</v>
      </c>
      <c r="Q1795" t="str">
        <f t="shared" ref="Q1795:Q1858" si="170">LEFT(N1795,(FIND("/",N1795,1)-1))</f>
        <v>photography</v>
      </c>
      <c r="R1795" t="str">
        <f t="shared" ref="R1795:R1858" si="171">MID(N1795,FIND("/",N1795)+1,256)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8">
        <f t="shared" ref="P1859:P1922" si="175">IFERROR(E1859/L1859,0)</f>
        <v>136.36363636363637</v>
      </c>
      <c r="Q1859" t="str">
        <f t="shared" ref="Q1859:Q1922" si="176">LEFT(N1859,(FIND("/",N1859,1)-1))</f>
        <v>music</v>
      </c>
      <c r="R1859" t="str">
        <f t="shared" ref="R1859:R1922" si="177">MID(N1859,FIND("/",N1859)+1,256)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8">
        <f t="shared" ref="P1923:P1986" si="181">IFERROR(E1923/L1923,0)</f>
        <v>54</v>
      </c>
      <c r="Q1923" t="str">
        <f t="shared" ref="Q1923:Q1986" si="182">LEFT(N1923,(FIND("/",N1923,1)-1))</f>
        <v>music</v>
      </c>
      <c r="R1923" t="str">
        <f t="shared" ref="R1923:R1986" si="183">MID(N1923,FIND("/",N1923)+1,256)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8">
        <f t="shared" ref="P1987:P2050" si="187">IFERROR(E1987/L1987,0)</f>
        <v>12.75</v>
      </c>
      <c r="Q1987" t="str">
        <f t="shared" ref="Q1987:Q2050" si="188">LEFT(N1987,(FIND("/",N1987,1)-1))</f>
        <v>photography</v>
      </c>
      <c r="R1987" t="str">
        <f t="shared" ref="R1987:R2050" si="189">MID(N1987,FIND("/",N1987)+1,256)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8">
        <f t="shared" ref="P2051:P2114" si="193">IFERROR(E2051/L2051,0)</f>
        <v>80.991037735849048</v>
      </c>
      <c r="Q2051" t="str">
        <f t="shared" ref="Q2051:Q2114" si="194">LEFT(N2051,(FIND("/",N2051,1)-1))</f>
        <v>technology</v>
      </c>
      <c r="R2051" t="str">
        <f t="shared" ref="R2051:R2114" si="195">MID(N2051,FIND("/",N2051)+1,256)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8">
        <f t="shared" ref="P2115:P2178" si="199">IFERROR(E2115/L2115,0)</f>
        <v>68.598130841121488</v>
      </c>
      <c r="Q2115" t="str">
        <f t="shared" ref="Q2115:Q2178" si="200">LEFT(N2115,(FIND("/",N2115,1)-1))</f>
        <v>music</v>
      </c>
      <c r="R2115" t="str">
        <f t="shared" ref="R2115:R2178" si="201">MID(N2115,FIND("/",N2115)+1,256)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8">
        <f t="shared" ref="P2179:P2242" si="205">IFERROR(E2179/L2179,0)</f>
        <v>65.868421052631575</v>
      </c>
      <c r="Q2179" t="str">
        <f t="shared" ref="Q2179:Q2242" si="206">LEFT(N2179,(FIND("/",N2179,1)-1))</f>
        <v>music</v>
      </c>
      <c r="R2179" t="str">
        <f t="shared" ref="R2179:R2242" si="207">MID(N2179,FIND("/",N2179)+1,256)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8">
        <f t="shared" ref="P2243:P2306" si="211">IFERROR(E2243/L2243,0)</f>
        <v>49.472392638036808</v>
      </c>
      <c r="Q2243" t="str">
        <f t="shared" ref="Q2243:Q2306" si="212">LEFT(N2243,(FIND("/",N2243,1)-1))</f>
        <v>games</v>
      </c>
      <c r="R2243" t="str">
        <f t="shared" ref="R2243:R2306" si="213">MID(N2243,FIND("/",N2243)+1,256)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8">
        <f t="shared" ref="P2307:P2370" si="217">IFERROR(E2307/L2307,0)</f>
        <v>109.10778443113773</v>
      </c>
      <c r="Q2307" t="str">
        <f t="shared" ref="Q2307:Q2370" si="218">LEFT(N2307,(FIND("/",N2307,1)-1))</f>
        <v>music</v>
      </c>
      <c r="R2307" t="str">
        <f t="shared" ref="R2307:R2370" si="219">MID(N2307,FIND("/",N2307)+1,256)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8">
        <f t="shared" ref="P2371:P2434" si="223">IFERROR(E2371/L2371,0)</f>
        <v>0</v>
      </c>
      <c r="Q2371" t="str">
        <f t="shared" ref="Q2371:Q2434" si="224">LEFT(N2371,(FIND("/",N2371,1)-1))</f>
        <v>technology</v>
      </c>
      <c r="R2371" t="str">
        <f t="shared" ref="R2371:R2434" si="225">MID(N2371,FIND("/",N2371)+1,256)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8">
        <f t="shared" ref="P2435:P2498" si="229">IFERROR(E2435/L2435,0)</f>
        <v>0</v>
      </c>
      <c r="Q2435" t="str">
        <f t="shared" ref="Q2435:Q2498" si="230">LEFT(N2435,(FIND("/",N2435,1)-1))</f>
        <v>food</v>
      </c>
      <c r="R2435" t="str">
        <f t="shared" ref="R2435:R2498" si="231">MID(N2435,FIND("/",N2435)+1,256)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8">
        <f t="shared" ref="P2499:P2562" si="235">IFERROR(E2499/L2499,0)</f>
        <v>80.551071428571419</v>
      </c>
      <c r="Q2499" t="str">
        <f t="shared" ref="Q2499:Q2562" si="236">LEFT(N2499,(FIND("/",N2499,1)-1))</f>
        <v>music</v>
      </c>
      <c r="R2499" t="str">
        <f t="shared" ref="R2499:R2562" si="237">MID(N2499,FIND("/",N2499)+1,256)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8">
        <f t="shared" ref="P2563:P2626" si="241">IFERROR(E2563/L2563,0)</f>
        <v>0</v>
      </c>
      <c r="Q2563" t="str">
        <f t="shared" ref="Q2563:Q2626" si="242">LEFT(N2563,(FIND("/",N2563,1)-1))</f>
        <v>food</v>
      </c>
      <c r="R2563" t="str">
        <f t="shared" ref="R2563:R2626" si="243">MID(N2563,FIND("/",N2563)+1,256)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8">
        <f t="shared" ref="P2627:P2690" si="247">IFERROR(E2627/L2627,0)</f>
        <v>27.576923076923077</v>
      </c>
      <c r="Q2627" t="str">
        <f t="shared" ref="Q2627:Q2690" si="248">LEFT(N2627,(FIND("/",N2627,1)-1))</f>
        <v>technology</v>
      </c>
      <c r="R2627" t="str">
        <f t="shared" ref="R2627:R2690" si="249">MID(N2627,FIND("/",N2627)+1,256)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8">
        <f t="shared" ref="P2691:P2754" si="253">IFERROR(E2691/L2691,0)</f>
        <v>1</v>
      </c>
      <c r="Q2691" t="str">
        <f t="shared" ref="Q2691:Q2754" si="254">LEFT(N2691,(FIND("/",N2691,1)-1))</f>
        <v>food</v>
      </c>
      <c r="R2691" t="str">
        <f t="shared" ref="R2691:R2754" si="255">MID(N2691,FIND("/",N2691)+1,256)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8">
        <f t="shared" ref="P2755:P2818" si="259">IFERROR(E2755/L2755,0)</f>
        <v>47.5</v>
      </c>
      <c r="Q2755" t="str">
        <f t="shared" ref="Q2755:Q2818" si="260">LEFT(N2755,(FIND("/",N2755,1)-1))</f>
        <v>publishing</v>
      </c>
      <c r="R2755" t="str">
        <f t="shared" ref="R2755:R2818" si="261">MID(N2755,FIND("/",N2755)+1,256)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8">
        <f t="shared" ref="P2819:P2882" si="265">IFERROR(E2819/L2819,0)</f>
        <v>23.636363636363637</v>
      </c>
      <c r="Q2819" t="str">
        <f t="shared" ref="Q2819:Q2882" si="266">LEFT(N2819,(FIND("/",N2819,1)-1))</f>
        <v>theater</v>
      </c>
      <c r="R2819" t="str">
        <f t="shared" ref="R2819:R2882" si="267">MID(N2819,FIND("/",N2819)+1,256)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8">
        <f t="shared" ref="P2883:P2946" si="271">IFERROR(E2883/L2883,0)</f>
        <v>0</v>
      </c>
      <c r="Q2883" t="str">
        <f t="shared" ref="Q2883:Q2946" si="272">LEFT(N2883,(FIND("/",N2883,1)-1))</f>
        <v>theater</v>
      </c>
      <c r="R2883" t="str">
        <f t="shared" ref="R2883:R2946" si="273">MID(N2883,FIND("/",N2883)+1,256)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8">
        <f t="shared" ref="P2947:P3010" si="277">IFERROR(E2947/L2947,0)</f>
        <v>0</v>
      </c>
      <c r="Q2947" t="str">
        <f t="shared" ref="Q2947:Q3010" si="278">LEFT(N2947,(FIND("/",N2947,1)-1))</f>
        <v>theater</v>
      </c>
      <c r="R2947" t="str">
        <f t="shared" ref="R2947:R3010" si="279">MID(N2947,FIND("/",N2947)+1,256)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8">
        <f t="shared" ref="P3011:P3074" si="283">IFERROR(E3011/L3011,0)</f>
        <v>233.8984375</v>
      </c>
      <c r="Q3011" t="str">
        <f t="shared" ref="Q3011:Q3074" si="284">LEFT(N3011,(FIND("/",N3011,1)-1))</f>
        <v>theater</v>
      </c>
      <c r="R3011" t="str">
        <f t="shared" ref="R3011:R3074" si="285">MID(N3011,FIND("/",N3011)+1,256)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8">
        <f t="shared" ref="P3075:P3138" si="289">IFERROR(E3075/L3075,0)</f>
        <v>92.142857142857139</v>
      </c>
      <c r="Q3075" t="str">
        <f t="shared" ref="Q3075:Q3138" si="290">LEFT(N3075,(FIND("/",N3075,1)-1))</f>
        <v>theater</v>
      </c>
      <c r="R3075" t="str">
        <f t="shared" ref="R3075:R3138" si="291">MID(N3075,FIND("/",N3075)+1,256)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8">
        <f t="shared" ref="P3139:P3202" si="295">IFERROR(E3139/L3139,0)</f>
        <v>50</v>
      </c>
      <c r="Q3139" t="str">
        <f t="shared" ref="Q3139:Q3202" si="296">LEFT(N3139,(FIND("/",N3139,1)-1))</f>
        <v>theater</v>
      </c>
      <c r="R3139" t="str">
        <f t="shared" ref="R3139:R3202" si="297">MID(N3139,FIND("/",N3139)+1,256)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8">
        <f t="shared" ref="P3203:P3266" si="301">IFERROR(E3203/L3203,0)</f>
        <v>12.5</v>
      </c>
      <c r="Q3203" t="str">
        <f t="shared" ref="Q3203:Q3266" si="302">LEFT(N3203,(FIND("/",N3203,1)-1))</f>
        <v>theater</v>
      </c>
      <c r="R3203" t="str">
        <f t="shared" ref="R3203:R3266" si="303">MID(N3203,FIND("/",N3203)+1,256)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8">
        <f t="shared" ref="P3267:P3330" si="307">IFERROR(E3267/L3267,0)</f>
        <v>70.285714285714292</v>
      </c>
      <c r="Q3267" t="str">
        <f t="shared" ref="Q3267:Q3330" si="308">LEFT(N3267,(FIND("/",N3267,1)-1))</f>
        <v>theater</v>
      </c>
      <c r="R3267" t="str">
        <f t="shared" ref="R3267:R3330" si="309">MID(N3267,FIND("/",N3267)+1,256)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8">
        <f t="shared" ref="P3331:P3394" si="313">IFERROR(E3331/L3331,0)</f>
        <v>44.92307692307692</v>
      </c>
      <c r="Q3331" t="str">
        <f t="shared" ref="Q3331:Q3394" si="314">LEFT(N3331,(FIND("/",N3331,1)-1))</f>
        <v>theater</v>
      </c>
      <c r="R3331" t="str">
        <f t="shared" ref="R3331:R3394" si="315">MID(N3331,FIND("/",N3331)+1,256)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8">
        <f t="shared" ref="P3395:P3458" si="319">IFERROR(E3395/L3395,0)</f>
        <v>36.06818181818182</v>
      </c>
      <c r="Q3395" t="str">
        <f t="shared" ref="Q3395:Q3458" si="320">LEFT(N3395,(FIND("/",N3395,1)-1))</f>
        <v>theater</v>
      </c>
      <c r="R3395" t="str">
        <f t="shared" ref="R3395:R3458" si="321">MID(N3395,FIND("/",N3395)+1,256)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8">
        <f t="shared" ref="P3459:P3522" si="325">IFERROR(E3459/L3459,0)</f>
        <v>50.981818181818184</v>
      </c>
      <c r="Q3459" t="str">
        <f t="shared" ref="Q3459:Q3522" si="326">LEFT(N3459,(FIND("/",N3459,1)-1))</f>
        <v>theater</v>
      </c>
      <c r="R3459" t="str">
        <f t="shared" ref="R3459:R3522" si="327">MID(N3459,FIND("/",N3459)+1,256)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8">
        <f t="shared" ref="P3523:P3586" si="331">IFERROR(E3523/L3523,0)</f>
        <v>45.615384615384613</v>
      </c>
      <c r="Q3523" t="str">
        <f t="shared" ref="Q3523:Q3586" si="332">LEFT(N3523,(FIND("/",N3523,1)-1))</f>
        <v>theater</v>
      </c>
      <c r="R3523" t="str">
        <f t="shared" ref="R3523:R3586" si="333">MID(N3523,FIND("/",N3523)+1,256)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8">
        <f t="shared" ref="P3587:P3650" si="337">IFERROR(E3587/L3587,0)</f>
        <v>176.08695652173913</v>
      </c>
      <c r="Q3587" t="str">
        <f t="shared" ref="Q3587:Q3650" si="338">LEFT(N3587,(FIND("/",N3587,1)-1))</f>
        <v>theater</v>
      </c>
      <c r="R3587" t="str">
        <f t="shared" ref="R3587:R3650" si="339">MID(N3587,FIND("/",N3587)+1,256)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8">
        <f t="shared" ref="P3651:P3714" si="343">IFERROR(E3651/L3651,0)</f>
        <v>97.5</v>
      </c>
      <c r="Q3651" t="str">
        <f t="shared" ref="Q3651:Q3714" si="344">LEFT(N3651,(FIND("/",N3651,1)-1))</f>
        <v>theater</v>
      </c>
      <c r="R3651" t="str">
        <f t="shared" ref="R3651:R3714" si="345">MID(N3651,FIND("/",N3651)+1,256)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8">
        <f t="shared" ref="P3715:P3778" si="349">IFERROR(E3715/L3715,0)</f>
        <v>106.84210526315789</v>
      </c>
      <c r="Q3715" t="str">
        <f t="shared" ref="Q3715:Q3778" si="350">LEFT(N3715,(FIND("/",N3715,1)-1))</f>
        <v>theater</v>
      </c>
      <c r="R3715" t="str">
        <f t="shared" ref="R3715:R3778" si="351">MID(N3715,FIND("/",N3715)+1,256)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8">
        <f t="shared" ref="P3779:P3842" si="355">IFERROR(E3779/L3779,0)</f>
        <v>48.542372881355931</v>
      </c>
      <c r="Q3779" t="str">
        <f t="shared" ref="Q3779:Q3842" si="356">LEFT(N3779,(FIND("/",N3779,1)-1))</f>
        <v>theater</v>
      </c>
      <c r="R3779" t="str">
        <f t="shared" ref="R3779:R3842" si="357">MID(N3779,FIND("/",N3779)+1,256)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8">
        <f t="shared" ref="P3843:P3906" si="361">IFERROR(E3843/L3843,0)</f>
        <v>25.647058823529413</v>
      </c>
      <c r="Q3843" t="str">
        <f t="shared" ref="Q3843:Q3906" si="362">LEFT(N3843,(FIND("/",N3843,1)-1))</f>
        <v>theater</v>
      </c>
      <c r="R3843" t="str">
        <f t="shared" ref="R3843:R3906" si="363">MID(N3843,FIND("/",N3843)+1,256)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8">
        <f t="shared" ref="P3907:P3970" si="367">IFERROR(E3907/L3907,0)</f>
        <v>24.714285714285715</v>
      </c>
      <c r="Q3907" t="str">
        <f t="shared" ref="Q3907:Q3970" si="368">LEFT(N3907,(FIND("/",N3907,1)-1))</f>
        <v>theater</v>
      </c>
      <c r="R3907" t="str">
        <f t="shared" ref="R3907:R3970" si="369">MID(N3907,FIND("/",N3907)+1,256)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8">
        <f t="shared" ref="P3971:P4034" si="373">IFERROR(E3971/L3971,0)</f>
        <v>35.166666666666664</v>
      </c>
      <c r="Q3971" t="str">
        <f t="shared" ref="Q3971:Q4034" si="374">LEFT(N3971,(FIND("/",N3971,1)-1))</f>
        <v>theater</v>
      </c>
      <c r="R3971" t="str">
        <f t="shared" ref="R3971:R4034" si="375">MID(N3971,FIND("/",N3971)+1,256)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8">
        <f t="shared" ref="P4035:P4098" si="379">IFERROR(E4035/L4035,0)</f>
        <v>65.340319148936175</v>
      </c>
      <c r="Q4035" t="str">
        <f t="shared" ref="Q4035:Q4098" si="380">LEFT(N4035,(FIND("/",N4035,1)-1))</f>
        <v>theater</v>
      </c>
      <c r="R4035" t="str">
        <f t="shared" ref="R4035:R4098" si="381">MID(N4035,FIND("/",N4035)+1,256)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8">
        <f t="shared" ref="P4099:P4115" si="385">IFERROR(E4099/L4099,0)</f>
        <v>0</v>
      </c>
      <c r="Q4099" t="str">
        <f t="shared" ref="Q4099:Q4115" si="386">LEFT(N4099,(FIND("/",N4099,1)-1))</f>
        <v>theater</v>
      </c>
      <c r="R4099" t="str">
        <f t="shared" ref="R4099:R4115" si="387">MID(N4099,FIND("/",N4099)+1,256)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ellIs" dxfId="50" priority="2" operator="equal">
      <formula>"live"</formula>
    </cfRule>
    <cfRule type="cellIs" dxfId="49" priority="3" operator="equal">
      <formula>"canceled"</formula>
    </cfRule>
    <cfRule type="cellIs" dxfId="48" priority="4" operator="equal">
      <formula>"cancelled"</formula>
    </cfRule>
    <cfRule type="cellIs" dxfId="47" priority="5" operator="equal">
      <formula>"failed"</formula>
    </cfRule>
    <cfRule type="cellIs" dxfId="46" priority="7" operator="equal">
      <formula>"successful"</formula>
    </cfRule>
    <cfRule type="cellIs" dxfId="45" priority="8" operator="equal">
      <formula>"""successful"""</formula>
    </cfRule>
    <cfRule type="colorScale" priority="9">
      <colorScale>
        <cfvo type="min"/>
        <cfvo type="max"/>
        <color rgb="FF63BE7B"/>
        <color rgb="FFFFEF9C"/>
      </colorScale>
    </cfRule>
    <cfRule type="containsText" priority="10" operator="containsText" text="S+$E$1uccessful&quot;">
      <formula>NOT(ISERROR(SEARCH("S+$E$1uccessful""",F1)))</formula>
    </cfRule>
    <cfRule type="cellIs" dxfId="44" priority="11" operator="equal">
      <formula>"""successful"""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">
    <cfRule type="cellIs" dxfId="43" priority="6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DC9DD-B45B-45A8-BC97-BC3F32C5BC13}">
  <dimension ref="A1:F14"/>
  <sheetViews>
    <sheetView topLeftCell="E4" workbookViewId="0">
      <selection activeCell="L29" sqref="L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3" spans="1:6" x14ac:dyDescent="0.3">
      <c r="A3" s="9" t="s">
        <v>8320</v>
      </c>
      <c r="B3" s="9" t="s">
        <v>8321</v>
      </c>
    </row>
    <row r="4" spans="1:6" x14ac:dyDescent="0.3">
      <c r="A4" s="9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8313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8316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1FB13-4749-4E64-AA22-2CFD3D58264C}">
  <dimension ref="A1:F47"/>
  <sheetViews>
    <sheetView tabSelected="1" topLeftCell="G10" workbookViewId="0">
      <selection activeCell="X19" sqref="X1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2" spans="1:6" x14ac:dyDescent="0.3">
      <c r="A2" s="9" t="s">
        <v>8364</v>
      </c>
      <c r="B2" t="s">
        <v>8322</v>
      </c>
    </row>
    <row r="4" spans="1:6" x14ac:dyDescent="0.3">
      <c r="A4" s="9" t="s">
        <v>8320</v>
      </c>
      <c r="B4" s="9" t="s">
        <v>8321</v>
      </c>
    </row>
    <row r="5" spans="1:6" x14ac:dyDescent="0.3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8324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8325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8327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8328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8335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8339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8343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8349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8351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8352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8353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8357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8358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8359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8362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8363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A8523-F100-4F6B-B137-2D6FB0795DBF}">
  <dimension ref="A1:E18"/>
  <sheetViews>
    <sheetView workbookViewId="0">
      <selection activeCell="H22" sqref="H2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8364</v>
      </c>
      <c r="B1" t="s">
        <v>8322</v>
      </c>
    </row>
    <row r="2" spans="1:5" x14ac:dyDescent="0.3">
      <c r="A2" s="9" t="s">
        <v>8379</v>
      </c>
      <c r="B2" t="s">
        <v>8322</v>
      </c>
    </row>
    <row r="4" spans="1:5" x14ac:dyDescent="0.3">
      <c r="A4" s="9" t="s">
        <v>8320</v>
      </c>
      <c r="B4" s="9" t="s">
        <v>8321</v>
      </c>
    </row>
    <row r="5" spans="1:5" x14ac:dyDescent="0.3">
      <c r="A5" s="9" t="s">
        <v>8309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3">
      <c r="A6" s="14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">
      <c r="A7" s="14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">
      <c r="A8" s="14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">
      <c r="A9" s="14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">
      <c r="A10" s="14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">
      <c r="A11" s="14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">
      <c r="A12" s="14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">
      <c r="A13" s="14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">
      <c r="A14" s="14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">
      <c r="A15" s="14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">
      <c r="A16" s="14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">
      <c r="A17" s="14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">
      <c r="A18" s="14" t="s">
        <v>8319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CC27-9358-46FC-ABDD-EF4DB70927CD}">
  <dimension ref="A1:H14"/>
  <sheetViews>
    <sheetView workbookViewId="0">
      <selection activeCell="G20" sqref="G20"/>
    </sheetView>
  </sheetViews>
  <sheetFormatPr defaultRowHeight="14.4" x14ac:dyDescent="0.3"/>
  <cols>
    <col min="1" max="1" width="28.44140625" customWidth="1"/>
    <col min="2" max="8" width="22.10937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COUNTIFS('Campaign Details'!$F:$F,"successful",'Campaign Details'!$D:$D,"&lt;1000")</f>
        <v>322</v>
      </c>
      <c r="C2">
        <f>COUNTIFS('Campaign Details'!$F:$F,"failed",'Campaign Details'!$D:$D,"&lt;1000")</f>
        <v>113</v>
      </c>
      <c r="D2">
        <f>COUNTIFS('Campaign Details'!$F:$F,"canceled",'Campaign Details'!$D:$D,"&lt;1000")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3">
      <c r="A3" t="s">
        <v>8389</v>
      </c>
      <c r="B3">
        <f>COUNTIFS('Campaign Details'!$F:$F,"successful",'Campaign Details'!$D:$D,"&gt;999", 'Campaign Details'!$D:$D,"&lt;5000")</f>
        <v>932</v>
      </c>
      <c r="C3">
        <f>COUNTIFS('Campaign Details'!$F:$F,"failed",'Campaign Details'!$D:$D,"&gt;999", 'Campaign Details'!$D:$D,"&lt;5000")</f>
        <v>420</v>
      </c>
      <c r="D3">
        <f>COUNTIFS('Campaign Details'!$F:$F,"canceled",'Campaign Details'!$D:$D,"&gt;999", 'Campaign Details'!$D:$D,"&lt;5000")</f>
        <v>60</v>
      </c>
      <c r="E3">
        <f t="shared" ref="E3:E13" si="0">SUM(B3:D3)</f>
        <v>1412</v>
      </c>
      <c r="F3" s="15">
        <f t="shared" ref="F3:H13" si="1">B3/$E3</f>
        <v>0.66005665722379603</v>
      </c>
      <c r="G3" s="15">
        <f t="shared" si="1"/>
        <v>0.29745042492917845</v>
      </c>
      <c r="H3" s="15">
        <f t="shared" si="1"/>
        <v>4.2492917847025496E-2</v>
      </c>
    </row>
    <row r="4" spans="1:8" x14ac:dyDescent="0.3">
      <c r="A4" t="s">
        <v>8390</v>
      </c>
      <c r="B4">
        <f>COUNTIFS('Campaign Details'!$F:$F,"successful",'Campaign Details'!$D:$D,"&gt;4999", 'Campaign Details'!$D:$D,"&lt;10000")</f>
        <v>381</v>
      </c>
      <c r="C4">
        <f>COUNTIFS('Campaign Details'!$F:$F,"failed",'Campaign Details'!$D:$D,"&gt;4999", 'Campaign Details'!$D:$D,"&lt;10000")</f>
        <v>283</v>
      </c>
      <c r="D4">
        <f>COUNTIFS('Campaign Details'!$F:$F,"canceled",'Campaign Details'!$D:$D,"&gt;4999", 'Campaign Details'!$D:$D,"&lt;10000")</f>
        <v>52</v>
      </c>
      <c r="E4">
        <f t="shared" si="0"/>
        <v>716</v>
      </c>
      <c r="F4" s="15">
        <f t="shared" si="1"/>
        <v>0.53212290502793291</v>
      </c>
      <c r="G4" s="15">
        <f t="shared" si="1"/>
        <v>0.39525139664804471</v>
      </c>
      <c r="H4" s="15">
        <f t="shared" si="1"/>
        <v>7.2625698324022353E-2</v>
      </c>
    </row>
    <row r="5" spans="1:8" x14ac:dyDescent="0.3">
      <c r="A5" t="s">
        <v>8391</v>
      </c>
      <c r="B5">
        <f>COUNTIFS('Campaign Details'!$F:$F,"successful",'Campaign Details'!$D:$D,"&gt;9999", 'Campaign Details'!$D:$D,"&lt;15000")</f>
        <v>168</v>
      </c>
      <c r="C5">
        <f>COUNTIFS('Campaign Details'!$F:$F,"failed",'Campaign Details'!$D:$D,"&gt;9999", 'Campaign Details'!$D:$D,"&lt;15000")</f>
        <v>144</v>
      </c>
      <c r="D5">
        <f>COUNTIFS('Campaign Details'!$F:$F,"canceled",'Campaign Details'!$D:$D,"&gt;9999", 'Campaign Details'!$D:$D,"&lt;15000")</f>
        <v>40</v>
      </c>
      <c r="E5">
        <f t="shared" si="0"/>
        <v>352</v>
      </c>
      <c r="F5" s="15">
        <f t="shared" si="1"/>
        <v>0.47727272727272729</v>
      </c>
      <c r="G5" s="15">
        <f t="shared" si="1"/>
        <v>0.40909090909090912</v>
      </c>
      <c r="H5" s="15">
        <f t="shared" si="1"/>
        <v>0.11363636363636363</v>
      </c>
    </row>
    <row r="6" spans="1:8" x14ac:dyDescent="0.3">
      <c r="A6" t="s">
        <v>8392</v>
      </c>
      <c r="B6">
        <f>COUNTIFS('Campaign Details'!$F:$F,"successful",'Campaign Details'!$D:$D,"&gt;14999", 'Campaign Details'!$D:$D,"&lt;20000")</f>
        <v>94</v>
      </c>
      <c r="C6">
        <f>COUNTIFS('Campaign Details'!$F:$F,"failed",'Campaign Details'!$D:$D,"&gt;14999", 'Campaign Details'!$D:$D,"&lt;20000")</f>
        <v>90</v>
      </c>
      <c r="D6">
        <f>COUNTIFS('Campaign Details'!$F:$F,"canceled",'Campaign Details'!$D:$D,"&gt;14999", 'Campaign Details'!$D:$D,"&lt;20000")</f>
        <v>17</v>
      </c>
      <c r="E6">
        <f t="shared" si="0"/>
        <v>201</v>
      </c>
      <c r="F6" s="15">
        <f t="shared" si="1"/>
        <v>0.46766169154228854</v>
      </c>
      <c r="G6" s="15">
        <f t="shared" si="1"/>
        <v>0.44776119402985076</v>
      </c>
      <c r="H6" s="15">
        <f t="shared" si="1"/>
        <v>8.45771144278607E-2</v>
      </c>
    </row>
    <row r="7" spans="1:8" x14ac:dyDescent="0.3">
      <c r="A7" t="s">
        <v>8393</v>
      </c>
      <c r="B7">
        <f>COUNTIFS('Campaign Details'!$F:$F,"successful",'Campaign Details'!$D:$D,"&gt;19999", 'Campaign Details'!$D:$D,"&lt;25000")</f>
        <v>62</v>
      </c>
      <c r="C7">
        <f>COUNTIFS('Campaign Details'!$F:$F,"failed",'Campaign Details'!$D:$D,"&gt;19999", 'Campaign Details'!$D:$D,"&lt;25000")</f>
        <v>72</v>
      </c>
      <c r="D7">
        <f>COUNTIFS('Campaign Details'!$F:$F,"canceled",'Campaign Details'!$D:$D,"&gt;19999", 'Campaign Details'!$D:$D,"&lt;25000")</f>
        <v>14</v>
      </c>
      <c r="E7">
        <f t="shared" si="0"/>
        <v>148</v>
      </c>
      <c r="F7" s="15">
        <f t="shared" si="1"/>
        <v>0.41891891891891891</v>
      </c>
      <c r="G7" s="15">
        <f t="shared" si="1"/>
        <v>0.48648648648648651</v>
      </c>
      <c r="H7" s="15">
        <f t="shared" si="1"/>
        <v>9.45945945945946E-2</v>
      </c>
    </row>
    <row r="8" spans="1:8" x14ac:dyDescent="0.3">
      <c r="A8" t="s">
        <v>8394</v>
      </c>
      <c r="B8">
        <f>COUNTIFS('Campaign Details'!$F:$F,"successful",'Campaign Details'!$D:$D,"&gt;24999", 'Campaign Details'!$D:$D,"&lt;30000")</f>
        <v>55</v>
      </c>
      <c r="C8">
        <f>COUNTIFS('Campaign Details'!$F:$F,"failed",'Campaign Details'!$D:$D,"&gt;24999", 'Campaign Details'!$D:$D,"&lt;30000")</f>
        <v>64</v>
      </c>
      <c r="D8">
        <f>COUNTIFS('Campaign Details'!$F:$F,"canceled",'Campaign Details'!$D:$D,"&gt;24999", 'Campaign Details'!$D:$D,"&lt;30000")</f>
        <v>18</v>
      </c>
      <c r="E8">
        <f t="shared" si="0"/>
        <v>137</v>
      </c>
      <c r="F8" s="15">
        <f t="shared" si="1"/>
        <v>0.40145985401459855</v>
      </c>
      <c r="G8" s="15">
        <f t="shared" si="1"/>
        <v>0.46715328467153283</v>
      </c>
      <c r="H8" s="15">
        <f t="shared" si="1"/>
        <v>0.13138686131386862</v>
      </c>
    </row>
    <row r="9" spans="1:8" x14ac:dyDescent="0.3">
      <c r="A9" t="s">
        <v>8395</v>
      </c>
      <c r="B9">
        <f>COUNTIFS('Campaign Details'!$F:$F,"successful",'Campaign Details'!$D:$D,"&gt;29999", 'Campaign Details'!$D:$D,"&lt;35000")</f>
        <v>32</v>
      </c>
      <c r="C9">
        <f>COUNTIFS('Campaign Details'!$F:$F,"failed",'Campaign Details'!$D:$D,"&gt;29999", 'Campaign Details'!$D:$D,"&lt;35000")</f>
        <v>37</v>
      </c>
      <c r="D9">
        <f>COUNTIFS('Campaign Details'!$F:$F,"canceled",'Campaign Details'!$D:$D,"&gt;29999", 'Campaign Details'!$D:$D,"&lt;35000")</f>
        <v>13</v>
      </c>
      <c r="E9">
        <f t="shared" si="0"/>
        <v>82</v>
      </c>
      <c r="F9" s="15">
        <f t="shared" si="1"/>
        <v>0.3902439024390244</v>
      </c>
      <c r="G9" s="15">
        <f t="shared" si="1"/>
        <v>0.45121951219512196</v>
      </c>
      <c r="H9" s="15">
        <f t="shared" si="1"/>
        <v>0.15853658536585366</v>
      </c>
    </row>
    <row r="10" spans="1:8" x14ac:dyDescent="0.3">
      <c r="A10" t="s">
        <v>8396</v>
      </c>
      <c r="B10">
        <f>COUNTIFS('Campaign Details'!$F:$F,"successful",'Campaign Details'!$D:$D,"&gt;34999", 'Campaign Details'!$D:$D,"&lt;40000")</f>
        <v>26</v>
      </c>
      <c r="C10">
        <f>COUNTIFS('Campaign Details'!$F:$F,"failed",'Campaign Details'!$D:$D,"&gt;34999", 'Campaign Details'!$D:$D,"&lt;40000")</f>
        <v>22</v>
      </c>
      <c r="D10">
        <f>COUNTIFS('Campaign Details'!$F:$F,"canceled",'Campaign Details'!$D:$D,"&gt;34999", 'Campaign Details'!$D:$D,"&lt;40000")</f>
        <v>7</v>
      </c>
      <c r="E10">
        <f t="shared" si="0"/>
        <v>55</v>
      </c>
      <c r="F10" s="15">
        <f t="shared" si="1"/>
        <v>0.47272727272727272</v>
      </c>
      <c r="G10" s="15">
        <f t="shared" si="1"/>
        <v>0.4</v>
      </c>
      <c r="H10" s="15">
        <f t="shared" si="1"/>
        <v>0.12727272727272726</v>
      </c>
    </row>
    <row r="11" spans="1:8" x14ac:dyDescent="0.3">
      <c r="A11" t="s">
        <v>8397</v>
      </c>
      <c r="B11">
        <f>COUNTIFS('Campaign Details'!$F:$F,"successful",'Campaign Details'!$D:$D,"&gt;39999", 'Campaign Details'!$D:$D,"&lt;45000")</f>
        <v>21</v>
      </c>
      <c r="C11">
        <f>COUNTIFS('Campaign Details'!$F:$F,"failed",'Campaign Details'!$D:$D,"&gt;39999", 'Campaign Details'!$D:$D,"&lt;45000")</f>
        <v>16</v>
      </c>
      <c r="D11">
        <f>COUNTIFS('Campaign Details'!$F:$F,"canceled",'Campaign Details'!$D:$D,"&gt;39999", 'Campaign Details'!$D:$D,"&lt;45000")</f>
        <v>6</v>
      </c>
      <c r="E11">
        <f t="shared" si="0"/>
        <v>43</v>
      </c>
      <c r="F11" s="15">
        <f t="shared" si="1"/>
        <v>0.48837209302325579</v>
      </c>
      <c r="G11" s="15">
        <f t="shared" si="1"/>
        <v>0.37209302325581395</v>
      </c>
      <c r="H11" s="15">
        <f t="shared" si="1"/>
        <v>0.13953488372093023</v>
      </c>
    </row>
    <row r="12" spans="1:8" x14ac:dyDescent="0.3">
      <c r="A12" t="s">
        <v>8398</v>
      </c>
      <c r="B12">
        <f>COUNTIFS('Campaign Details'!$F:$F,"successful",'Campaign Details'!$D:$D,"&gt;44999", 'Campaign Details'!$D:$D,"&lt;50000")</f>
        <v>6</v>
      </c>
      <c r="C12">
        <f>COUNTIFS('Campaign Details'!$F:$F,"failed",'Campaign Details'!$D:$D,"&gt;44999", 'Campaign Details'!$D:$D,"&lt;50000")</f>
        <v>11</v>
      </c>
      <c r="D12">
        <f>COUNTIFS('Campaign Details'!$F:$F,"canceled",'Campaign Details'!$D:$D,"&gt;44999", 'Campaign Details'!$D:$D,"&lt;50000")</f>
        <v>4</v>
      </c>
      <c r="E12">
        <f t="shared" si="0"/>
        <v>21</v>
      </c>
      <c r="F12" s="15">
        <f t="shared" si="1"/>
        <v>0.2857142857142857</v>
      </c>
      <c r="G12" s="15">
        <f t="shared" si="1"/>
        <v>0.52380952380952384</v>
      </c>
      <c r="H12" s="15">
        <f t="shared" si="1"/>
        <v>0.19047619047619047</v>
      </c>
    </row>
    <row r="13" spans="1:8" x14ac:dyDescent="0.3">
      <c r="A13" t="s">
        <v>8399</v>
      </c>
      <c r="B13">
        <f>COUNTIFS('Campaign Details'!$F:$F,"successful",'Campaign Details'!$D:$D,"&gt;=50000")</f>
        <v>86</v>
      </c>
      <c r="C13">
        <f>COUNTIFS('Campaign Details'!$F:$F,"failed",'Campaign Details'!$D:$D,"&gt;=50000")</f>
        <v>258</v>
      </c>
      <c r="D13">
        <f>COUNTIFS('Campaign Details'!$F:$F,"canceled",'Campaign Details'!$D:$D,"&gt;=50000")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1"/>
        <v>0.58108108108108103</v>
      </c>
      <c r="H13" s="15">
        <f t="shared" si="1"/>
        <v>0.22522522522522523</v>
      </c>
    </row>
    <row r="14" spans="1:8" x14ac:dyDescent="0.3">
      <c r="F14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5EC74-D65E-4044-B616-1A7C0B50A121}">
  <dimension ref="A1:I2186"/>
  <sheetViews>
    <sheetView workbookViewId="0">
      <selection activeCell="G13" sqref="G13"/>
    </sheetView>
  </sheetViews>
  <sheetFormatPr defaultRowHeight="14.4" x14ac:dyDescent="0.3"/>
  <cols>
    <col min="1" max="1" width="25.21875" customWidth="1"/>
    <col min="2" max="2" width="16.21875" customWidth="1"/>
    <col min="4" max="4" width="17.5546875" customWidth="1"/>
    <col min="5" max="5" width="18.88671875" customWidth="1"/>
    <col min="7" max="7" width="29.44140625" customWidth="1"/>
    <col min="8" max="8" width="21.21875" customWidth="1"/>
    <col min="9" max="9" width="18" customWidth="1"/>
    <col min="10" max="10" width="10.77734375" bestFit="1" customWidth="1"/>
    <col min="11" max="11" width="28" bestFit="1" customWidth="1"/>
    <col min="12" max="12" width="24.77734375" bestFit="1" customWidth="1"/>
  </cols>
  <sheetData>
    <row r="1" spans="1:9" x14ac:dyDescent="0.3">
      <c r="A1" s="1" t="s">
        <v>8400</v>
      </c>
      <c r="B1" s="1" t="s">
        <v>8262</v>
      </c>
      <c r="D1" s="1" t="s">
        <v>8400</v>
      </c>
      <c r="E1" s="1" t="s">
        <v>8262</v>
      </c>
      <c r="G1" s="16"/>
      <c r="H1" s="17" t="s">
        <v>8410</v>
      </c>
      <c r="I1" s="17" t="s">
        <v>8405</v>
      </c>
    </row>
    <row r="2" spans="1:9" x14ac:dyDescent="0.3">
      <c r="A2" t="s">
        <v>8219</v>
      </c>
      <c r="B2">
        <v>182</v>
      </c>
      <c r="D2" t="s">
        <v>8221</v>
      </c>
      <c r="E2">
        <v>0</v>
      </c>
      <c r="G2" s="17" t="s">
        <v>8401</v>
      </c>
      <c r="H2" s="18">
        <f>AVERAGE($B$2:$B$2186)</f>
        <v>194.42517162471395</v>
      </c>
      <c r="I2" s="18">
        <f>AVERAGE($E$2:$E$1531)</f>
        <v>17.709803921568628</v>
      </c>
    </row>
    <row r="3" spans="1:9" x14ac:dyDescent="0.3">
      <c r="A3" t="s">
        <v>8219</v>
      </c>
      <c r="B3">
        <v>79</v>
      </c>
      <c r="D3" t="s">
        <v>8221</v>
      </c>
      <c r="E3">
        <v>1</v>
      </c>
      <c r="G3" s="17" t="s">
        <v>8402</v>
      </c>
      <c r="H3" s="18">
        <f>MEDIAN($B$2:$B$2186)</f>
        <v>62</v>
      </c>
      <c r="I3" s="18">
        <f>MEDIAN($E$2:$E$1531)</f>
        <v>4</v>
      </c>
    </row>
    <row r="4" spans="1:9" x14ac:dyDescent="0.3">
      <c r="A4" t="s">
        <v>8219</v>
      </c>
      <c r="B4">
        <v>35</v>
      </c>
      <c r="D4" t="s">
        <v>8221</v>
      </c>
      <c r="E4">
        <v>10</v>
      </c>
      <c r="G4" s="17" t="s">
        <v>8403</v>
      </c>
      <c r="H4" s="18">
        <f>MIN($B$2:$B$2186)</f>
        <v>1</v>
      </c>
      <c r="I4" s="18">
        <f>MIN($E$2:$E$1531)</f>
        <v>0</v>
      </c>
    </row>
    <row r="5" spans="1:9" x14ac:dyDescent="0.3">
      <c r="A5" t="s">
        <v>8219</v>
      </c>
      <c r="B5">
        <v>150</v>
      </c>
      <c r="D5" t="s">
        <v>8221</v>
      </c>
      <c r="E5">
        <v>0</v>
      </c>
      <c r="G5" s="17" t="s">
        <v>8404</v>
      </c>
      <c r="H5" s="18">
        <f>MAX($B$2:$B$2186)</f>
        <v>26457</v>
      </c>
      <c r="I5" s="18">
        <f>MAX($E$2:$E$1531)</f>
        <v>1293</v>
      </c>
    </row>
    <row r="6" spans="1:9" x14ac:dyDescent="0.3">
      <c r="A6" t="s">
        <v>8219</v>
      </c>
      <c r="B6">
        <v>284</v>
      </c>
      <c r="D6" t="s">
        <v>8221</v>
      </c>
      <c r="E6">
        <v>7</v>
      </c>
      <c r="G6" s="17" t="s">
        <v>8406</v>
      </c>
      <c r="H6" s="18">
        <f>_xlfn.VAR.P($B$2:$B$2186)</f>
        <v>712840.9867348104</v>
      </c>
      <c r="I6" s="18">
        <f>_xlfn.VAR.P($E$2:$E$1531)</f>
        <v>3773.2216685890044</v>
      </c>
    </row>
    <row r="7" spans="1:9" x14ac:dyDescent="0.3">
      <c r="A7" t="s">
        <v>8219</v>
      </c>
      <c r="B7">
        <v>47</v>
      </c>
      <c r="D7" t="s">
        <v>8221</v>
      </c>
      <c r="E7">
        <v>0</v>
      </c>
      <c r="G7" s="17" t="s">
        <v>8407</v>
      </c>
      <c r="H7" s="18">
        <f>_xlfn.STDEV.P($B$2:$B$2186)</f>
        <v>844.29910975602149</v>
      </c>
      <c r="I7" s="18">
        <f>_xlfn.STDEV.P($E$2:$E$1531)</f>
        <v>61.426555076684906</v>
      </c>
    </row>
    <row r="8" spans="1:9" x14ac:dyDescent="0.3">
      <c r="A8" t="s">
        <v>8219</v>
      </c>
      <c r="B8">
        <v>58</v>
      </c>
      <c r="D8" t="s">
        <v>8221</v>
      </c>
      <c r="E8">
        <v>1</v>
      </c>
      <c r="G8" s="17" t="s">
        <v>8408</v>
      </c>
      <c r="H8" s="18">
        <f>_xlfn.VAR.S($B$2:$B$2186)</f>
        <v>713167.37912800396</v>
      </c>
      <c r="I8" s="18">
        <f>_xlfn.VAR.S($E$2:$E$1531)</f>
        <v>3775.6894394644714</v>
      </c>
    </row>
    <row r="9" spans="1:9" x14ac:dyDescent="0.3">
      <c r="A9" t="s">
        <v>8219</v>
      </c>
      <c r="B9">
        <v>57</v>
      </c>
      <c r="D9" t="s">
        <v>8221</v>
      </c>
      <c r="E9">
        <v>2</v>
      </c>
      <c r="G9" s="17" t="s">
        <v>8409</v>
      </c>
      <c r="H9" s="18">
        <f>_xlfn.STDEV.S($B$2:$B$2186)</f>
        <v>844.49237955591047</v>
      </c>
      <c r="I9" s="18">
        <f>_xlfn.STDEV.S($E$2:$E$1531)</f>
        <v>61.446638959868842</v>
      </c>
    </row>
    <row r="10" spans="1:9" x14ac:dyDescent="0.3">
      <c r="A10" t="s">
        <v>8219</v>
      </c>
      <c r="B10">
        <v>12</v>
      </c>
      <c r="D10" t="s">
        <v>8221</v>
      </c>
      <c r="E10">
        <v>3</v>
      </c>
    </row>
    <row r="11" spans="1:9" x14ac:dyDescent="0.3">
      <c r="A11" t="s">
        <v>8219</v>
      </c>
      <c r="B11">
        <v>20</v>
      </c>
      <c r="D11" t="s">
        <v>8221</v>
      </c>
      <c r="E11">
        <v>10</v>
      </c>
    </row>
    <row r="12" spans="1:9" x14ac:dyDescent="0.3">
      <c r="A12" t="s">
        <v>8219</v>
      </c>
      <c r="B12">
        <v>19</v>
      </c>
      <c r="D12" t="s">
        <v>8221</v>
      </c>
      <c r="E12">
        <v>10</v>
      </c>
    </row>
    <row r="13" spans="1:9" x14ac:dyDescent="0.3">
      <c r="A13" t="s">
        <v>8219</v>
      </c>
      <c r="B13">
        <v>75</v>
      </c>
      <c r="D13" t="s">
        <v>8221</v>
      </c>
      <c r="E13">
        <v>1</v>
      </c>
    </row>
    <row r="14" spans="1:9" x14ac:dyDescent="0.3">
      <c r="A14" t="s">
        <v>8219</v>
      </c>
      <c r="B14">
        <v>827</v>
      </c>
      <c r="D14" t="s">
        <v>8221</v>
      </c>
      <c r="E14">
        <v>0</v>
      </c>
    </row>
    <row r="15" spans="1:9" x14ac:dyDescent="0.3">
      <c r="A15" t="s">
        <v>8219</v>
      </c>
      <c r="B15">
        <v>51</v>
      </c>
      <c r="D15" t="s">
        <v>8221</v>
      </c>
      <c r="E15">
        <v>0</v>
      </c>
    </row>
    <row r="16" spans="1:9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G2:G7 A1:A2186">
    <cfRule type="cellIs" dxfId="42" priority="51" operator="equal">
      <formula>"live"</formula>
    </cfRule>
    <cfRule type="cellIs" dxfId="41" priority="52" operator="equal">
      <formula>"canceled"</formula>
    </cfRule>
    <cfRule type="cellIs" dxfId="40" priority="53" operator="equal">
      <formula>"cancelled"</formula>
    </cfRule>
    <cfRule type="cellIs" dxfId="39" priority="54" operator="equal">
      <formula>"failed"</formula>
    </cfRule>
    <cfRule type="cellIs" dxfId="38" priority="56" operator="equal">
      <formula>"successful"</formula>
    </cfRule>
    <cfRule type="cellIs" dxfId="37" priority="57" operator="equal">
      <formula>"""successful"""</formula>
    </cfRule>
    <cfRule type="colorScale" priority="58">
      <colorScale>
        <cfvo type="min"/>
        <cfvo type="max"/>
        <color rgb="FF63BE7B"/>
        <color rgb="FFFFEF9C"/>
      </colorScale>
    </cfRule>
    <cfRule type="containsText" priority="59" operator="containsText" text="S+$E$1uccessful&quot;">
      <formula>NOT(ISERROR(SEARCH("S+$E$1uccessful""",A1)))</formula>
    </cfRule>
    <cfRule type="cellIs" dxfId="36" priority="60" operator="equal">
      <formula>"""successful"""</formula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">
    <cfRule type="cellIs" dxfId="35" priority="55" operator="equal">
      <formula>"failed"</formula>
    </cfRule>
  </conditionalFormatting>
  <conditionalFormatting sqref="B1">
    <cfRule type="cellIs" dxfId="34" priority="41" operator="equal">
      <formula>"live"</formula>
    </cfRule>
    <cfRule type="cellIs" dxfId="33" priority="42" operator="equal">
      <formula>"canceled"</formula>
    </cfRule>
    <cfRule type="cellIs" dxfId="32" priority="43" operator="equal">
      <formula>"cancelled"</formula>
    </cfRule>
    <cfRule type="cellIs" dxfId="31" priority="44" operator="equal">
      <formula>"failed"</formula>
    </cfRule>
    <cfRule type="cellIs" dxfId="30" priority="45" operator="equal">
      <formula>"successful"</formula>
    </cfRule>
    <cfRule type="cellIs" dxfId="29" priority="46" operator="equal">
      <formula>"""successful"""</formula>
    </cfRule>
    <cfRule type="colorScale" priority="47">
      <colorScale>
        <cfvo type="min"/>
        <cfvo type="max"/>
        <color rgb="FF63BE7B"/>
        <color rgb="FFFFEF9C"/>
      </colorScale>
    </cfRule>
    <cfRule type="containsText" priority="48" operator="containsText" text="S+$E$1uccessful&quot;">
      <formula>NOT(ISERROR(SEARCH("S+$E$1uccessful""",B1)))</formula>
    </cfRule>
    <cfRule type="cellIs" dxfId="28" priority="49" operator="equal">
      <formula>"""successful"""</formula>
    </cfRule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">
    <cfRule type="cellIs" dxfId="27" priority="31" operator="equal">
      <formula>"live"</formula>
    </cfRule>
    <cfRule type="cellIs" dxfId="26" priority="32" operator="equal">
      <formula>"canceled"</formula>
    </cfRule>
    <cfRule type="cellIs" dxfId="25" priority="33" operator="equal">
      <formula>"cancelled"</formula>
    </cfRule>
    <cfRule type="cellIs" dxfId="24" priority="34" operator="equal">
      <formula>"failed"</formula>
    </cfRule>
    <cfRule type="cellIs" dxfId="23" priority="35" operator="equal">
      <formula>"successful"</formula>
    </cfRule>
    <cfRule type="cellIs" dxfId="22" priority="36" operator="equal">
      <formula>"""successful"""</formula>
    </cfRule>
    <cfRule type="colorScale" priority="37">
      <colorScale>
        <cfvo type="min"/>
        <cfvo type="max"/>
        <color rgb="FF63BE7B"/>
        <color rgb="FFFFEF9C"/>
      </colorScale>
    </cfRule>
    <cfRule type="containsText" priority="38" operator="containsText" text="S+$E$1uccessful&quot;">
      <formula>NOT(ISERROR(SEARCH("S+$E$1uccessful""",D1)))</formula>
    </cfRule>
    <cfRule type="cellIs" dxfId="21" priority="39" operator="equal">
      <formula>"""successful"""</formula>
    </cfRule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">
    <cfRule type="cellIs" dxfId="20" priority="21" operator="equal">
      <formula>"live"</formula>
    </cfRule>
    <cfRule type="cellIs" dxfId="19" priority="22" operator="equal">
      <formula>"canceled"</formula>
    </cfRule>
    <cfRule type="cellIs" dxfId="18" priority="23" operator="equal">
      <formula>"cancelled"</formula>
    </cfRule>
    <cfRule type="cellIs" dxfId="17" priority="24" operator="equal">
      <formula>"failed"</formula>
    </cfRule>
    <cfRule type="cellIs" dxfId="16" priority="25" operator="equal">
      <formula>"successful"</formula>
    </cfRule>
    <cfRule type="cellIs" dxfId="15" priority="26" operator="equal">
      <formula>"""successful"""</formula>
    </cfRule>
    <cfRule type="colorScale" priority="27">
      <colorScale>
        <cfvo type="min"/>
        <cfvo type="max"/>
        <color rgb="FF63BE7B"/>
        <color rgb="FFFFEF9C"/>
      </colorScale>
    </cfRule>
    <cfRule type="containsText" priority="28" operator="containsText" text="S+$E$1uccessful&quot;">
      <formula>NOT(ISERROR(SEARCH("S+$E$1uccessful""",E1)))</formula>
    </cfRule>
    <cfRule type="cellIs" dxfId="14" priority="29" operator="equal">
      <formula>"""successful"""</formula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531">
    <cfRule type="cellIs" dxfId="13" priority="11" operator="equal">
      <formula>"live"</formula>
    </cfRule>
    <cfRule type="cellIs" dxfId="12" priority="12" operator="equal">
      <formula>"canceled"</formula>
    </cfRule>
    <cfRule type="cellIs" dxfId="11" priority="13" operator="equal">
      <formula>"cancelled"</formula>
    </cfRule>
    <cfRule type="cellIs" dxfId="10" priority="14" operator="equal">
      <formula>"failed"</formula>
    </cfRule>
    <cfRule type="cellIs" dxfId="9" priority="15" operator="equal">
      <formula>"successful"</formula>
    </cfRule>
    <cfRule type="cellIs" dxfId="8" priority="16" operator="equal">
      <formula>"""successful"""</formula>
    </cfRule>
    <cfRule type="colorScale" priority="17">
      <colorScale>
        <cfvo type="min"/>
        <cfvo type="max"/>
        <color rgb="FF63BE7B"/>
        <color rgb="FFFFEF9C"/>
      </colorScale>
    </cfRule>
    <cfRule type="containsText" priority="18" operator="containsText" text="S+$E$1uccessful&quot;">
      <formula>NOT(ISERROR(SEARCH("S+$E$1uccessful""",D2)))</formula>
    </cfRule>
    <cfRule type="cellIs" dxfId="7" priority="19" operator="equal">
      <formula>"""successful"""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:G9">
    <cfRule type="cellIs" dxfId="6" priority="1" operator="equal">
      <formula>"live"</formula>
    </cfRule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"""successful"""</formula>
    </cfRule>
    <cfRule type="colorScale" priority="7">
      <colorScale>
        <cfvo type="min"/>
        <cfvo type="max"/>
        <color rgb="FF63BE7B"/>
        <color rgb="FFFFEF9C"/>
      </colorScale>
    </cfRule>
    <cfRule type="containsText" priority="8" operator="containsText" text="S+$E$1uccessful&quot;">
      <formula>NOT(ISERROR(SEARCH("S+$E$1uccessful""",G8)))</formula>
    </cfRule>
    <cfRule type="cellIs" dxfId="0" priority="9" operator="equal">
      <formula>"""successful"""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Campaign Details</vt:lpstr>
      <vt:lpstr>State vs Parent-Category</vt:lpstr>
      <vt:lpstr>State vs Sub-Category</vt:lpstr>
      <vt:lpstr>State vs Months</vt:lpstr>
      <vt:lpstr>State vs Funding Goals</vt:lpstr>
      <vt:lpstr>Stats SuccessFail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Cecilia</cp:lastModifiedBy>
  <dcterms:created xsi:type="dcterms:W3CDTF">2017-04-20T15:17:24Z</dcterms:created>
  <dcterms:modified xsi:type="dcterms:W3CDTF">2021-02-18T22:54:24Z</dcterms:modified>
</cp:coreProperties>
</file>